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tables/table3.xml" ContentType="application/vnd.openxmlformats-officedocument.spreadsheetml.table+xml"/>
  <Override PartName="/xl/worksheets/sheet9.xml" ContentType="application/vnd.openxmlformats-officedocument.spreadsheetml.worksheet+xml"/>
  <Override PartName="/xl/tables/table4.xml" ContentType="application/vnd.openxmlformats-officedocument.spreadsheetml.table+xml"/>
  <Override PartName="/xl/worksheets/sheet10.xml" ContentType="application/vnd.openxmlformats-officedocument.spreadsheetml.worksheet+xml"/>
  <Override PartName="/xl/tables/table5.xml" ContentType="application/vnd.openxmlformats-officedocument.spreadsheetml.table+xml"/>
  <Override PartName="/xl/worksheets/sheet11.xml" ContentType="application/vnd.openxmlformats-officedocument.spreadsheetml.worksheet+xml"/>
  <Override PartName="/xl/tables/table6.xml" ContentType="application/vnd.openxmlformats-officedocument.spreadsheetml.table+xml"/>
  <Override PartName="/xl/worksheets/sheet12.xml" ContentType="application/vnd.openxmlformats-officedocument.spreadsheetml.worksheet+xml"/>
  <Override PartName="/xl/tables/table7.xml" ContentType="application/vnd.openxmlformats-officedocument.spreadsheetml.table+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5bd3c65c52f4154" /></Relationships>
</file>

<file path=xl/workbook.xml><?xml version="1.0" encoding="utf-8"?>
<x:workbook xmlns:x="http://schemas.openxmlformats.org/spreadsheetml/2006/main">
  <x:sheets>
    <x:sheet xmlns:r="http://schemas.openxmlformats.org/officeDocument/2006/relationships" name="Summary" sheetId="1" r:id="Rc3e0e1c104594d21"/>
    <x:sheet xmlns:r="http://schemas.openxmlformats.org/officeDocument/2006/relationships" name="Service inputs" sheetId="2" r:id="R5b17a153f2f547c3"/>
    <x:sheet xmlns:r="http://schemas.openxmlformats.org/officeDocument/2006/relationships" name="Park model" sheetId="3" r:id="Rbf5ed7dbb4a84d7a"/>
    <x:sheet xmlns:r="http://schemas.openxmlformats.org/officeDocument/2006/relationships" name="Workload" sheetId="4" r:id="R71ff589fc84e49dd"/>
    <x:sheet xmlns:r="http://schemas.openxmlformats.org/officeDocument/2006/relationships" name="Staffing" sheetId="5" r:id="Rf1132ce3e74b4a02"/>
    <x:sheet xmlns:r="http://schemas.openxmlformats.org/officeDocument/2006/relationships" name="Budget baseline" sheetId="6" r:id="Re92f5e244bd441ad"/>
    <x:sheet xmlns:r="http://schemas.openxmlformats.org/officeDocument/2006/relationships" name="Capital" sheetId="7" r:id="Rdd850011c48b47aa"/>
    <x:sheet xmlns:r="http://schemas.openxmlformats.org/officeDocument/2006/relationships" name="Historic repairs" sheetId="8" r:id="Rbd840e30a96c4b1c"/>
    <x:sheet xmlns:r="http://schemas.openxmlformats.org/officeDocument/2006/relationships" name="Use evidence" sheetId="9" r:id="R510ce60c94924283"/>
    <x:sheet xmlns:r="http://schemas.openxmlformats.org/officeDocument/2006/relationships" name="Program snapshot" sheetId="10" r:id="Rd2808768a243439e"/>
    <x:sheet xmlns:r="http://schemas.openxmlformats.org/officeDocument/2006/relationships" name="Partners" sheetId="11" r:id="Re23019e14eb64619"/>
    <x:sheet xmlns:r="http://schemas.openxmlformats.org/officeDocument/2006/relationships" name="Evidence notes" sheetId="12" r:id="R33c9f329dba143e2"/>
    <x:sheet xmlns:r="http://schemas.openxmlformats.org/officeDocument/2006/relationships" name="Funding inputs" sheetId="13" r:id="R66f0a68ac1d94ffe"/>
    <x:sheet xmlns:r="http://schemas.openxmlformats.org/officeDocument/2006/relationships" name="Funding forecast" sheetId="14" r:id="R43715369c876479d"/>
    <x:sheet xmlns:r="http://schemas.openxmlformats.org/officeDocument/2006/relationships" name="Bond financing" sheetId="15" r:id="Ra544c21fee50415f"/>
    <x:sheet xmlns:r="http://schemas.openxmlformats.org/officeDocument/2006/relationships" name="Fund register" sheetId="16" r:id="R4e2709d8d72c4fb3"/>
    <x:sheet xmlns:r="http://schemas.openxmlformats.org/officeDocument/2006/relationships" name="Review status" sheetId="17" r:id="R488dc076de064dd4"/>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
    <x:numFmt numFmtId="201" formatCode="#,##0.0;(#,##0.0);–"/>
    <x:numFmt numFmtId="202" formatCode="$#,##0;($#,##0);–"/>
    <x:numFmt numFmtId="203" formatCode="0.0%"/>
    <x:numFmt numFmtId="204" formatCode="#,##0"/>
    <x:numFmt numFmtId="205" formatCode="#,##0.00"/>
    <x:numFmt numFmtId="206" formatCode="0.00"/>
    <x:numFmt numFmtId="207" formatCode="$0.0,,&quot;m&quot;;($0.0,,&quot;m&quot;);–"/>
    <x:numFmt numFmtId="208" formatCode="0.000"/>
    <x:numFmt numFmtId="209" formatCode="$0.00"/>
    <x:numFmt numFmtId="210" formatCode="#,##0.0"/>
  </x:numFmts>
  <x:fonts count="16">
    <x:font>
      <x:sz val="11"/>
      <x:name val="Carlito"/>
    </x:font>
    <x:font>
      <x:b/>
      <x:sz val="18"/>
      <x:color rgb="FF173E38"/>
      <x:name val="Arial"/>
    </x:font>
    <x:font>
      <x:sz val="10"/>
      <x:color rgb="FF58635F"/>
      <x:name val="Arial"/>
    </x:font>
    <x:font>
      <x:b/>
      <x:sz val="10"/>
      <x:color rgb="FFFFFFFF"/>
      <x:name val="Arial"/>
    </x:font>
    <x:font>
      <x:sz val="10"/>
      <x:color rgb="FF222222"/>
      <x:name val="Arial"/>
    </x:font>
    <x:font>
      <x:sz val="10"/>
      <x:color rgb="FF1766B4"/>
      <x:name val="Arial"/>
    </x:font>
    <x:font>
      <x:b/>
      <x:sz val="11"/>
      <x:color rgb="FFFFFFFF"/>
      <x:name val="Carlito"/>
    </x:font>
    <x:font>
      <x:sz val="11"/>
      <x:color rgb="FF1766B4"/>
      <x:name val="Carlito"/>
    </x:font>
    <x:font>
      <x:sz val="10"/>
      <x:color rgb="FF16714A"/>
      <x:name val="Arial"/>
    </x:font>
    <x:font>
      <x:sz val="11"/>
      <x:color rgb="FF222222"/>
      <x:name val="Carlito"/>
    </x:font>
    <x:font>
      <x:b/>
      <x:sz val="19"/>
      <x:color rgb="FF173E38"/>
      <x:name val="Arial"/>
    </x:font>
    <x:font>
      <x:sz val="10"/>
      <x:name val="Arial"/>
    </x:font>
    <x:font>
      <x:sz val="11"/>
      <x:color rgb="FF16714A"/>
      <x:name val="Carlito"/>
    </x:font>
    <x:font>
      <x:b/>
      <x:sz val="10"/>
      <x:color rgb="FF222222"/>
      <x:name val="Arial"/>
    </x:font>
    <x:font>
      <x:b/>
      <x:sz val="10"/>
      <x:color rgb="FF16714A"/>
      <x:name val="Arial"/>
    </x:font>
    <x:font>
      <x:sz val="10"/>
      <x:color rgb="FF173E38"/>
      <x:name val="Arial"/>
    </x:font>
  </x:fonts>
  <x:fills count="7">
    <x:fill>
      <x:patternFill patternType="none"/>
    </x:fill>
    <x:fill>
      <x:patternFill patternType="gray125"/>
    </x:fill>
    <x:fill>
      <x:patternFill patternType="solid">
        <x:fgColor rgb="FF173E38"/>
      </x:patternFill>
    </x:fill>
    <x:fill>
      <x:patternFill patternType="solid">
        <x:fgColor rgb="FFEFF5F2"/>
      </x:patternFill>
    </x:fill>
    <x:fill>
      <x:patternFill patternType="solid">
        <x:fgColor rgb="FFD8E8E0"/>
      </x:patternFill>
    </x:fill>
    <x:fill>
      <x:patternFill patternType="solid">
        <x:fgColor rgb="FFFFF1D6"/>
      </x:patternFill>
    </x:fill>
    <x:fill>
      <x:patternFill patternType="solid">
        <x:fgColor rgb="FFFFFFFF"/>
      </x:patternFill>
    </x:fill>
  </x:fills>
  <x:borders count="1">
    <x:border>
      <x:left/>
      <x:right/>
      <x:top/>
      <x:bottom/>
      <x:diagonal/>
    </x:border>
  </x:borders>
  <x:cellStyleXfs count="1">
    <x:xf numFmtId="0" fontId="0" fillId="0" borderId="0"/>
  </x:cellStyleXfs>
  <x:cellXfs count="146">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wrapText="1"/>
    </x:xf>
    <x:xf numFmtId="0" fontId="0"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4" fillId="0" borderId="0" xfId="0" applyNumberFormat="1" applyFont="1" applyFill="1" applyBorder="1"/>
    <x:xf numFmtId="0" fontId="4" fillId="3" borderId="0" xfId="0" applyNumberFormat="1" applyFont="1" applyFill="1" applyBorder="1"/>
    <x:xf numFmtId="0" fontId="5" fillId="3" borderId="0" xfId="0" applyNumberFormat="1" applyFont="1" applyFill="1" applyBorder="1"/>
    <x:xf numFmtId="0" fontId="5" fillId="0" borderId="0" xfId="0" applyNumberFormat="1" applyFont="1" applyFill="1" applyBorder="1"/>
    <x:xf numFmtId="0" fontId="4" fillId="3" borderId="0" xfId="0" applyNumberFormat="1" applyFont="1" applyFill="1" applyBorder="1" applyAlignment="1">
      <x:alignment wrapText="1"/>
    </x:xf>
    <x:xf numFmtId="0" fontId="4" fillId="0" borderId="0" xfId="0" applyNumberFormat="1" applyFont="1" applyFill="1" applyBorder="1" applyAlignment="1">
      <x:alignment wrapText="1"/>
    </x:xf>
    <x:xf numFmtId="0" fontId="6" fillId="2" borderId="0" xfId="0" applyNumberFormat="1" applyFont="1" applyFill="1" applyBorder="1"/>
    <x:xf numFmtId="0" fontId="6" fillId="2" borderId="0" xfId="0" applyNumberFormat="1" applyFont="1" applyFill="1" applyBorder="1" applyAlignment="1">
      <x:alignment wrapText="1"/>
    </x:xf>
    <x:xf numFmtId="200" fontId="0" fillId="0" borderId="0" xfId="0" applyNumberFormat="1" applyFont="1" applyFill="1" applyBorder="1"/>
    <x:xf numFmtId="0" fontId="7" fillId="0" borderId="0" xfId="0" applyNumberFormat="1" applyFont="1" applyFill="1" applyBorder="1"/>
    <x:xf numFmtId="200" fontId="7" fillId="0" borderId="0" xfId="0" applyNumberFormat="1" applyFont="1" applyFill="1" applyBorder="1"/>
    <x:xf numFmtId="201" fontId="4" fillId="3" borderId="0" xfId="0" applyNumberFormat="1" applyFont="1" applyFill="1" applyBorder="1"/>
    <x:xf numFmtId="201" fontId="4" fillId="0" borderId="0" xfId="0" applyNumberFormat="1" applyFont="1" applyFill="1" applyBorder="1"/>
    <x:xf numFmtId="202" fontId="4" fillId="3" borderId="0" xfId="0" applyNumberFormat="1" applyFont="1" applyFill="1" applyBorder="1"/>
    <x:xf numFmtId="202" fontId="4" fillId="0" borderId="0" xfId="0" applyNumberFormat="1" applyFont="1" applyFill="1" applyBorder="1"/>
    <x:xf numFmtId="200" fontId="4" fillId="3" borderId="0" xfId="0" applyNumberFormat="1" applyFont="1" applyFill="1" applyBorder="1"/>
    <x:xf numFmtId="200" fontId="4" fillId="0" borderId="0" xfId="0" applyNumberFormat="1" applyFont="1" applyFill="1" applyBorder="1"/>
    <x:xf numFmtId="201" fontId="8" fillId="3" borderId="0" xfId="0" applyNumberFormat="1" applyFont="1" applyFill="1" applyBorder="1"/>
    <x:xf numFmtId="202" fontId="8" fillId="3" borderId="0" xfId="0" applyNumberFormat="1" applyFont="1" applyFill="1" applyBorder="1"/>
    <x:xf numFmtId="201" fontId="8" fillId="0" borderId="0" xfId="0" applyNumberFormat="1" applyFont="1" applyFill="1" applyBorder="1"/>
    <x:xf numFmtId="202" fontId="8" fillId="0" borderId="0" xfId="0" applyNumberFormat="1" applyFont="1" applyFill="1" applyBorder="1"/>
    <x:xf numFmtId="0" fontId="8" fillId="3" borderId="0" xfId="0" applyNumberFormat="1" applyFont="1" applyFill="1" applyBorder="1"/>
    <x:xf numFmtId="0" fontId="8" fillId="0" borderId="0" xfId="0" applyNumberFormat="1" applyFont="1" applyFill="1" applyBorder="1"/>
    <x:xf numFmtId="201" fontId="5" fillId="3" borderId="0" xfId="0" applyNumberFormat="1" applyFont="1" applyFill="1" applyBorder="1"/>
    <x:xf numFmtId="201" fontId="5" fillId="0" borderId="0" xfId="0" applyNumberFormat="1" applyFont="1" applyFill="1" applyBorder="1"/>
    <x:xf numFmtId="0" fontId="9" fillId="0" borderId="0" xfId="0" applyNumberFormat="1" applyFont="1" applyFill="1" applyBorder="1"/>
    <x:xf numFmtId="202" fontId="0" fillId="0" borderId="0" xfId="0" applyNumberFormat="1" applyFont="1" applyFill="1" applyBorder="1"/>
    <x:xf numFmtId="202" fontId="9" fillId="0" borderId="0" xfId="0" applyNumberFormat="1" applyFont="1" applyFill="1" applyBorder="1"/>
    <x:xf numFmtId="201" fontId="0" fillId="0" borderId="0" xfId="0" applyNumberFormat="1" applyFont="1" applyFill="1" applyBorder="1"/>
    <x:xf numFmtId="201" fontId="9" fillId="0" borderId="0" xfId="0" applyNumberFormat="1" applyFont="1" applyFill="1" applyBorder="1"/>
    <x:xf numFmtId="203" fontId="4" fillId="3" borderId="0" xfId="0" applyNumberFormat="1" applyFont="1" applyFill="1" applyBorder="1"/>
    <x:xf numFmtId="203" fontId="4" fillId="0" borderId="0" xfId="0" applyNumberFormat="1" applyFont="1" applyFill="1" applyBorder="1"/>
    <x:xf numFmtId="202" fontId="5" fillId="3" borderId="0" xfId="0" applyNumberFormat="1" applyFont="1" applyFill="1" applyBorder="1"/>
    <x:xf numFmtId="203" fontId="5" fillId="3" borderId="0" xfId="0" applyNumberFormat="1" applyFont="1" applyFill="1" applyBorder="1"/>
    <x:xf numFmtId="202" fontId="5" fillId="0" borderId="0" xfId="0" applyNumberFormat="1" applyFont="1" applyFill="1" applyBorder="1"/>
    <x:xf numFmtId="203" fontId="5" fillId="0" borderId="0" xfId="0" applyNumberFormat="1" applyFont="1" applyFill="1" applyBorder="1"/>
    <x:xf numFmtId="200" fontId="5" fillId="0" borderId="0" xfId="0" applyNumberFormat="1" applyFont="1" applyFill="1" applyBorder="1"/>
    <x:xf numFmtId="204" fontId="8" fillId="0" borderId="0" xfId="0" applyNumberFormat="1" applyFont="1" applyFill="1" applyBorder="1"/>
    <x:xf numFmtId="204" fontId="8" fillId="3" borderId="0" xfId="0" applyNumberFormat="1" applyFont="1" applyFill="1" applyBorder="1"/>
    <x:xf numFmtId="0" fontId="4" fillId="4" borderId="0" xfId="0" applyNumberFormat="1" applyFont="1" applyFill="1" applyBorder="1"/>
    <x:xf numFmtId="202" fontId="8" fillId="4" borderId="0" xfId="0" applyNumberFormat="1" applyFont="1" applyFill="1" applyBorder="1"/>
    <x:xf numFmtId="202" fontId="4" fillId="4" borderId="0" xfId="0" applyNumberFormat="1" applyFont="1" applyFill="1" applyBorder="1"/>
    <x:xf numFmtId="0" fontId="4" fillId="4" borderId="0" xfId="0" applyNumberFormat="1" applyFont="1" applyFill="1" applyBorder="1" applyAlignment="1">
      <x:alignment wrapText="1"/>
    </x:xf>
    <x:xf numFmtId="205" fontId="5" fillId="3" borderId="0" xfId="0" applyNumberFormat="1" applyFont="1" applyFill="1" applyBorder="1"/>
    <x:xf numFmtId="205" fontId="5" fillId="0" borderId="0" xfId="0" applyNumberFormat="1" applyFont="1" applyFill="1" applyBorder="1"/>
    <x:xf numFmtId="206" fontId="5" fillId="3" borderId="0" xfId="0" applyNumberFormat="1" applyFont="1" applyFill="1" applyBorder="1"/>
    <x:xf numFmtId="206" fontId="5" fillId="0" borderId="0" xfId="0" applyNumberFormat="1" applyFont="1" applyFill="1" applyBorder="1"/>
    <x:xf numFmtId="0" fontId="10" fillId="0" borderId="0" xfId="0" applyNumberFormat="1" applyFont="1" applyFill="1" applyBorder="1"/>
    <x:xf numFmtId="0" fontId="4" fillId="0"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5" borderId="0" xfId="0" applyNumberFormat="1" applyFont="1" applyFill="1" applyBorder="1" applyAlignment="1">
      <x:alignment vertical="center"/>
    </x:xf>
    <x:xf numFmtId="0" fontId="4" fillId="0" borderId="0" xfId="0" applyNumberFormat="1" applyFont="1" applyFill="1" applyBorder="1" applyAlignment="1">
      <x:alignment vertical="center" wrapText="1"/>
    </x:xf>
    <x:xf numFmtId="0" fontId="5" fillId="0"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8" fillId="0" borderId="0" xfId="0" applyNumberFormat="1" applyFont="1" applyFill="1" applyBorder="1" applyAlignment="1">
      <x:alignment vertical="center"/>
    </x:xf>
    <x:xf numFmtId="0" fontId="4" fillId="4" borderId="0" xfId="0" applyNumberFormat="1" applyFont="1" applyFill="1" applyBorder="1" applyAlignment="1">
      <x:alignment vertical="center"/>
    </x:xf>
    <x:xf numFmtId="203" fontId="4" fillId="4" borderId="0" xfId="0" applyNumberFormat="1" applyFont="1" applyFill="1" applyBorder="1" applyAlignment="1">
      <x:alignment vertical="center"/>
    </x:xf>
    <x:xf numFmtId="203" fontId="5" fillId="3" borderId="0" xfId="0" applyNumberFormat="1" applyFont="1" applyFill="1" applyBorder="1" applyAlignment="1">
      <x:alignment vertical="center"/>
    </x:xf>
    <x:xf numFmtId="203" fontId="5" fillId="0" borderId="0" xfId="0" applyNumberFormat="1" applyFont="1" applyFill="1" applyBorder="1" applyAlignment="1">
      <x:alignment vertical="center"/>
    </x:xf>
    <x:xf numFmtId="207" fontId="4" fillId="4" borderId="0" xfId="0" applyNumberFormat="1" applyFont="1" applyFill="1" applyBorder="1" applyAlignment="1">
      <x:alignment vertical="center"/>
    </x:xf>
    <x:xf numFmtId="207" fontId="5" fillId="3" borderId="0" xfId="0" applyNumberFormat="1" applyFont="1" applyFill="1" applyBorder="1" applyAlignment="1">
      <x:alignment vertical="center"/>
    </x:xf>
    <x:xf numFmtId="207" fontId="5" fillId="0" borderId="0" xfId="0" applyNumberFormat="1" applyFont="1" applyFill="1" applyBorder="1" applyAlignment="1">
      <x:alignment vertical="center"/>
    </x:xf>
    <x:xf numFmtId="207" fontId="4" fillId="0" borderId="0" xfId="0" applyNumberFormat="1" applyFont="1" applyFill="1" applyBorder="1" applyAlignment="1">
      <x:alignment vertical="center"/>
    </x:xf>
    <x:xf numFmtId="207" fontId="4" fillId="3" borderId="0" xfId="0" applyNumberFormat="1" applyFont="1" applyFill="1" applyBorder="1" applyAlignment="1">
      <x:alignment vertical="center"/>
    </x:xf>
    <x:xf numFmtId="204" fontId="4" fillId="4" borderId="0" xfId="0" applyNumberFormat="1" applyFont="1" applyFill="1" applyBorder="1" applyAlignment="1">
      <x:alignment vertical="center"/>
    </x:xf>
    <x:xf numFmtId="204" fontId="5" fillId="3" borderId="0" xfId="0" applyNumberFormat="1" applyFont="1" applyFill="1" applyBorder="1" applyAlignment="1">
      <x:alignment vertical="center"/>
    </x:xf>
    <x:xf numFmtId="204" fontId="5" fillId="0" borderId="0" xfId="0" applyNumberFormat="1" applyFont="1" applyFill="1" applyBorder="1" applyAlignment="1">
      <x:alignment vertical="center"/>
    </x:xf>
    <x:xf numFmtId="206" fontId="5" fillId="3" borderId="0" xfId="0" applyNumberFormat="1" applyFont="1" applyFill="1" applyBorder="1" applyAlignment="1">
      <x:alignment vertical="center"/>
    </x:xf>
    <x:xf numFmtId="206" fontId="5" fillId="0"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4" borderId="0" xfId="0" applyNumberFormat="1" applyFont="1" applyFill="1" applyBorder="1" applyAlignment="1">
      <x:alignment vertical="center" wrapText="1"/>
    </x:xf>
    <x:xf numFmtId="207" fontId="8" fillId="0" borderId="0" xfId="0" applyNumberFormat="1" applyFont="1" applyFill="1" applyBorder="1" applyAlignment="1">
      <x:alignment vertical="center"/>
    </x:xf>
    <x:xf numFmtId="206" fontId="4" fillId="3" borderId="0" xfId="0" applyNumberFormat="1" applyFont="1" applyFill="1" applyBorder="1" applyAlignment="1">
      <x:alignment vertical="center"/>
    </x:xf>
    <x:xf numFmtId="206" fontId="4" fillId="0" borderId="0" xfId="0" applyNumberFormat="1" applyFont="1" applyFill="1" applyBorder="1" applyAlignment="1">
      <x:alignment vertical="center"/>
    </x:xf>
    <x:xf numFmtId="0" fontId="0" fillId="6" borderId="0" xfId="0" applyNumberFormat="1" applyFont="1" applyFill="1" applyBorder="1"/>
    <x:xf numFmtId="0" fontId="11" fillId="6" borderId="0" xfId="0" applyNumberFormat="1" applyFont="1" applyFill="1" applyBorder="1"/>
    <x:xf numFmtId="0" fontId="11" fillId="6" borderId="0" xfId="0" applyNumberFormat="1" applyFont="1" applyFill="1" applyBorder="1" applyAlignment="1">
      <x:alignment wrapText="1"/>
    </x:xf>
    <x:xf numFmtId="0" fontId="0" fillId="3" borderId="0" xfId="0" applyNumberFormat="1" applyFont="1" applyFill="1" applyBorder="1"/>
    <x:xf numFmtId="0" fontId="11" fillId="3" borderId="0" xfId="0" applyNumberFormat="1" applyFont="1" applyFill="1" applyBorder="1"/>
    <x:xf numFmtId="0" fontId="11" fillId="3" borderId="0" xfId="0" applyNumberFormat="1" applyFont="1" applyFill="1" applyBorder="1" applyAlignment="1">
      <x:alignment wrapText="1"/>
    </x:xf>
    <x:xf numFmtId="0" fontId="8" fillId="3" borderId="0" xfId="0" applyNumberFormat="1" applyFont="1" applyFill="1" applyBorder="1" applyAlignment="1">
      <x:alignment vertical="center"/>
    </x:xf>
    <x:xf numFmtId="0" fontId="11" fillId="0" borderId="0" xfId="0" applyNumberFormat="1" applyFont="1" applyFill="1" applyBorder="1"/>
    <x:xf numFmtId="0" fontId="11" fillId="0" borderId="0" xfId="0" applyNumberFormat="1" applyFont="1" applyFill="1" applyBorder="1" applyAlignment="1">
      <x:alignment wrapText="1"/>
    </x:xf>
    <x:xf numFmtId="0" fontId="11" fillId="0" borderId="0" xfId="0" applyNumberFormat="1" applyFont="1" applyFill="1" applyBorder="1" applyAlignment="1">
      <x:alignment vertical="top" wrapText="1"/>
    </x:xf>
    <x:xf numFmtId="207" fontId="8" fillId="3" borderId="0" xfId="0" applyNumberFormat="1" applyFont="1" applyFill="1" applyBorder="1" applyAlignment="1">
      <x:alignment vertical="center"/>
    </x:xf>
    <x:xf numFmtId="207" fontId="9" fillId="0" borderId="0" xfId="0" applyNumberFormat="1" applyFont="1" applyFill="1" applyBorder="1"/>
    <x:xf numFmtId="207" fontId="0" fillId="0" borderId="0" xfId="0" applyNumberFormat="1" applyFont="1" applyFill="1" applyBorder="1"/>
    <x:xf numFmtId="207" fontId="11" fillId="0" borderId="0" xfId="0" applyNumberFormat="1" applyFont="1" applyFill="1" applyBorder="1" applyAlignment="1">
      <x:alignment vertical="top" wrapText="1"/>
    </x:xf>
    <x:xf numFmtId="0" fontId="12" fillId="0" borderId="0" xfId="0" applyNumberFormat="1" applyFont="1" applyFill="1" applyBorder="1"/>
    <x:xf numFmtId="206" fontId="9" fillId="0" borderId="0" xfId="0" applyNumberFormat="1" applyFont="1" applyFill="1" applyBorder="1"/>
    <x:xf numFmtId="206" fontId="12" fillId="0" borderId="0" xfId="0" applyNumberFormat="1" applyFont="1" applyFill="1" applyBorder="1"/>
    <x:xf numFmtId="208" fontId="12" fillId="0" borderId="0" xfId="0" applyNumberFormat="1" applyFont="1" applyFill="1" applyBorder="1"/>
    <x:xf numFmtId="209" fontId="12" fillId="0" borderId="0" xfId="0" applyNumberFormat="1" applyFont="1" applyFill="1" applyBorder="1"/>
    <x:xf numFmtId="0" fontId="0" fillId="0" borderId="0" xfId="0" applyNumberFormat="1" applyFont="1" applyFill="1" applyBorder="1" applyAlignment="1">
      <x:alignment wrapText="1"/>
    </x:xf>
    <x:xf numFmtId="0" fontId="13" fillId="0" borderId="0" xfId="0" applyNumberFormat="1" applyFont="1" applyFill="1" applyBorder="1" applyAlignment="1">
      <x:alignment vertical="center"/>
    </x:xf>
    <x:xf numFmtId="207" fontId="13" fillId="0" borderId="0" xfId="0" applyNumberFormat="1" applyFont="1" applyFill="1" applyBorder="1" applyAlignment="1">
      <x:alignment vertical="center"/>
    </x:xf>
    <x:xf numFmtId="0" fontId="13" fillId="4" borderId="0" xfId="0" applyNumberFormat="1" applyFont="1" applyFill="1" applyBorder="1" applyAlignment="1">
      <x:alignment vertical="center"/>
    </x:xf>
    <x:xf numFmtId="207" fontId="13" fillId="4" borderId="0" xfId="0" applyNumberFormat="1" applyFont="1" applyFill="1" applyBorder="1" applyAlignment="1">
      <x:alignment vertical="center"/>
    </x:xf>
    <x:xf numFmtId="0" fontId="13" fillId="3" borderId="0" xfId="0" applyNumberFormat="1" applyFont="1" applyFill="1" applyBorder="1" applyAlignment="1">
      <x:alignment vertical="center"/>
    </x:xf>
    <x:xf numFmtId="207" fontId="13" fillId="3" borderId="0" xfId="0" applyNumberFormat="1" applyFont="1" applyFill="1" applyBorder="1" applyAlignment="1">
      <x:alignment vertical="center"/>
    </x:xf>
    <x:xf numFmtId="0" fontId="13" fillId="5" borderId="0" xfId="0" applyNumberFormat="1" applyFont="1" applyFill="1" applyBorder="1" applyAlignment="1">
      <x:alignment vertical="center"/>
    </x:xf>
    <x:xf numFmtId="207" fontId="13" fillId="5" borderId="0" xfId="0" applyNumberFormat="1" applyFont="1" applyFill="1" applyBorder="1" applyAlignment="1">
      <x:alignment vertical="center"/>
    </x:xf>
    <x:xf numFmtId="207" fontId="14" fillId="0" borderId="0" xfId="0" applyNumberFormat="1" applyFont="1" applyFill="1" applyBorder="1" applyAlignment="1">
      <x:alignment vertical="center"/>
    </x:xf>
    <x:xf numFmtId="207" fontId="14" fillId="4" borderId="0" xfId="0" applyNumberFormat="1" applyFont="1" applyFill="1" applyBorder="1" applyAlignment="1">
      <x:alignment vertical="center"/>
    </x:xf>
    <x:xf numFmtId="204" fontId="4" fillId="0" borderId="0" xfId="0" applyNumberFormat="1" applyFont="1" applyFill="1" applyBorder="1"/>
    <x:xf numFmtId="204" fontId="4" fillId="3" borderId="0" xfId="0" applyNumberFormat="1" applyFont="1" applyFill="1" applyBorder="1"/>
    <x:xf numFmtId="202" fontId="4" fillId="3" borderId="0" xfId="0" applyNumberFormat="1" applyFont="1" applyFill="1" applyBorder="1" applyAlignment="1">
      <x:alignment vertical="center"/>
    </x:xf>
    <x:xf numFmtId="202" fontId="4" fillId="0" borderId="0" xfId="0" applyNumberFormat="1" applyFont="1" applyFill="1" applyBorder="1" applyAlignment="1">
      <x:alignment vertical="center"/>
    </x:xf>
    <x:xf numFmtId="202" fontId="4" fillId="4" borderId="0" xfId="0" applyNumberFormat="1" applyFont="1" applyFill="1" applyBorder="1" applyAlignment="1">
      <x:alignment vertical="center"/>
    </x:xf>
    <x:xf numFmtId="201" fontId="4" fillId="3" borderId="0" xfId="0" applyNumberFormat="1" applyFont="1" applyFill="1" applyBorder="1" applyAlignment="1">
      <x:alignment vertical="center"/>
    </x:xf>
    <x:xf numFmtId="201" fontId="4" fillId="0" borderId="0" xfId="0" applyNumberFormat="1" applyFont="1" applyFill="1" applyBorder="1" applyAlignment="1">
      <x:alignment vertical="center"/>
    </x:xf>
    <x:xf numFmtId="204" fontId="4" fillId="0" borderId="0" xfId="0" applyNumberFormat="1" applyFont="1" applyFill="1" applyBorder="1" applyAlignment="1">
      <x:alignment vertical="center"/>
    </x:xf>
    <x:xf numFmtId="204" fontId="4" fillId="3" borderId="0" xfId="0" applyNumberFormat="1" applyFont="1" applyFill="1" applyBorder="1" applyAlignment="1">
      <x:alignment vertical="center"/>
    </x:xf>
    <x:xf numFmtId="202" fontId="8" fillId="3" borderId="0" xfId="0" applyNumberFormat="1" applyFont="1" applyFill="1" applyBorder="1" applyAlignment="1">
      <x:alignment vertical="center"/>
    </x:xf>
    <x:xf numFmtId="202" fontId="8" fillId="0" borderId="0" xfId="0" applyNumberFormat="1" applyFont="1" applyFill="1" applyBorder="1" applyAlignment="1">
      <x:alignment vertical="center"/>
    </x:xf>
    <x:xf numFmtId="201" fontId="8" fillId="3" borderId="0" xfId="0" applyNumberFormat="1" applyFont="1" applyFill="1" applyBorder="1" applyAlignment="1">
      <x:alignment vertical="center"/>
    </x:xf>
    <x:xf numFmtId="204" fontId="8" fillId="0" borderId="0" xfId="0" applyNumberFormat="1" applyFont="1" applyFill="1" applyBorder="1" applyAlignment="1">
      <x:alignment vertical="center"/>
    </x:xf>
    <x:xf numFmtId="210" fontId="8" fillId="3" borderId="0" xfId="0" applyNumberFormat="1" applyFont="1" applyFill="1" applyBorder="1" applyAlignment="1">
      <x:alignment vertical="center"/>
    </x:xf>
    <x:xf numFmtId="210" fontId="4" fillId="3" borderId="0" xfId="0" applyNumberFormat="1" applyFont="1" applyFill="1" applyBorder="1" applyAlignment="1">
      <x:alignment vertical="center"/>
    </x:xf>
    <x:xf numFmtId="206" fontId="8" fillId="0" borderId="0" xfId="0" applyNumberFormat="1" applyFont="1" applyFill="1" applyBorder="1" applyAlignment="1">
      <x:alignment vertical="center"/>
    </x:xf>
    <x:xf numFmtId="206" fontId="8" fillId="3" borderId="0" xfId="0" applyNumberFormat="1" applyFont="1" applyFill="1" applyBorder="1" applyAlignment="1">
      <x:alignment vertical="center"/>
    </x:xf>
    <x:xf numFmtId="207" fontId="15" fillId="3" borderId="0" xfId="0" applyNumberFormat="1" applyFont="1" applyFill="1" applyBorder="1" applyAlignment="1">
      <x:alignment vertical="center"/>
    </x:xf>
    <x:xf numFmtId="207" fontId="15" fillId="0" borderId="0" xfId="0" applyNumberFormat="1" applyFont="1" applyFill="1" applyBorder="1" applyAlignment="1">
      <x:alignment vertical="center"/>
    </x:xf>
    <x:xf numFmtId="210" fontId="15" fillId="3" borderId="0" xfId="0" applyNumberFormat="1" applyFont="1" applyFill="1" applyBorder="1" applyAlignment="1">
      <x:alignment vertical="center"/>
    </x:xf>
    <x:xf numFmtId="204" fontId="15" fillId="0" borderId="0" xfId="0" applyNumberFormat="1" applyFont="1" applyFill="1" applyBorder="1" applyAlignment="1">
      <x:alignment vertical="center"/>
    </x:xf>
    <x:xf numFmtId="0" fontId="15" fillId="3" borderId="0" xfId="0" applyNumberFormat="1" applyFont="1" applyFill="1" applyBorder="1" applyAlignment="1">
      <x:alignment vertical="center"/>
    </x:xf>
    <x:xf numFmtId="0" fontId="15" fillId="0" borderId="0" xfId="0" applyNumberFormat="1" applyFont="1" applyFill="1" applyBorder="1" applyAlignment="1">
      <x:alignment vertical="center"/>
    </x:xf>
    <x:xf numFmtId="206" fontId="15" fillId="0" borderId="0" xfId="0" applyNumberFormat="1" applyFont="1" applyFill="1" applyBorder="1" applyAlignment="1">
      <x:alignment vertical="center"/>
    </x:xf>
    <x:xf numFmtId="206" fontId="15" fillId="3" borderId="0" xfId="0" applyNumberFormat="1" applyFont="1" applyFill="1" applyBorder="1" applyAlignment="1">
      <x:alignment vertical="center"/>
    </x:xf>
    <x:xf numFmtId="207" fontId="8" fillId="0" borderId="0" xfId="0" applyNumberFormat="1" applyFont="1" applyFill="1" applyBorder="1" applyAlignment="1">
      <x:alignment vertical="center" wrapText="1"/>
    </x:xf>
    <x:xf numFmtId="207" fontId="15" fillId="0" borderId="0" xfId="0" applyNumberFormat="1" applyFont="1" applyFill="1" applyBorder="1" applyAlignment="1">
      <x:alignment vertical="center" wrapText="1"/>
    </x:xf>
    <x:xf numFmtId="207" fontId="15" fillId="5" borderId="0" xfId="0" applyNumberFormat="1" applyFont="1" applyFill="1" applyBorder="1" applyAlignment="1">
      <x:alignment vertical="center"/>
    </x:xf>
    <x:xf numFmtId="0" fontId="4" fillId="5" borderId="0" xfId="0" applyNumberFormat="1" applyFont="1" applyFill="1" applyBorder="1" applyAlignment="1">
      <x:alignment vertical="center" wrapText="1"/>
    </x:xf>
    <x:xf numFmtId="207" fontId="8" fillId="5" borderId="0" xfId="0" applyNumberFormat="1" applyFont="1" applyFill="1" applyBorder="1" applyAlignment="1">
      <x:alignment vertical="center" wrapText="1"/>
    </x:xf>
    <x:xf numFmtId="207" fontId="15" fillId="5" borderId="0" xfId="0" applyNumberFormat="1" applyFont="1" applyFill="1" applyBorder="1" applyAlignment="1">
      <x:alignment vertical="center" wrapText="1"/>
    </x:xf>
    <x:xf numFmtId="0" fontId="4"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vertical="center" wrapText="1"/>
    </x:xf>
    <x:xf numFmtId="207" fontId="12"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319373d9e644cf1" /><Relationship Type="http://schemas.openxmlformats.org/officeDocument/2006/relationships/theme" Target="/xl/theme/theme1.xml" Id="R2024e4f32ee84cb7" /><Relationship Type="http://schemas.openxmlformats.org/officeDocument/2006/relationships/sharedStrings" Target="/xl/sharedStrings.xml" Id="R8dbf37acd3ec44d4" /><Relationship Type="http://schemas.openxmlformats.org/officeDocument/2006/relationships/worksheet" Target="/xl/worksheets/sheet1.xml" Id="Rc3e0e1c104594d21" /><Relationship Type="http://schemas.openxmlformats.org/officeDocument/2006/relationships/worksheet" Target="/xl/worksheets/sheet2.xml" Id="R5b17a153f2f547c3" /><Relationship Type="http://schemas.openxmlformats.org/officeDocument/2006/relationships/worksheet" Target="/xl/worksheets/sheet3.xml" Id="Rbf5ed7dbb4a84d7a" /><Relationship Type="http://schemas.openxmlformats.org/officeDocument/2006/relationships/worksheet" Target="/xl/worksheets/sheet4.xml" Id="R71ff589fc84e49dd" /><Relationship Type="http://schemas.openxmlformats.org/officeDocument/2006/relationships/worksheet" Target="/xl/worksheets/sheet5.xml" Id="Rf1132ce3e74b4a02" /><Relationship Type="http://schemas.openxmlformats.org/officeDocument/2006/relationships/worksheet" Target="/xl/worksheets/sheet6.xml" Id="Re92f5e244bd441ad" /><Relationship Type="http://schemas.openxmlformats.org/officeDocument/2006/relationships/worksheet" Target="/xl/worksheets/sheet7.xml" Id="Rdd850011c48b47aa" /><Relationship Type="http://schemas.openxmlformats.org/officeDocument/2006/relationships/worksheet" Target="/xl/worksheets/sheet8.xml" Id="Rbd840e30a96c4b1c" /><Relationship Type="http://schemas.openxmlformats.org/officeDocument/2006/relationships/worksheet" Target="/xl/worksheets/sheet9.xml" Id="R510ce60c94924283" /><Relationship Type="http://schemas.openxmlformats.org/officeDocument/2006/relationships/worksheet" Target="/xl/worksheets/sheet10.xml" Id="Rd2808768a243439e" /><Relationship Type="http://schemas.openxmlformats.org/officeDocument/2006/relationships/worksheet" Target="/xl/worksheets/sheet11.xml" Id="Re23019e14eb64619" /><Relationship Type="http://schemas.openxmlformats.org/officeDocument/2006/relationships/worksheet" Target="/xl/worksheets/sheet12.xml" Id="R33c9f329dba143e2" /><Relationship Type="http://schemas.openxmlformats.org/officeDocument/2006/relationships/worksheet" Target="/xl/worksheets/sheet13.xml" Id="R66f0a68ac1d94ffe" /><Relationship Type="http://schemas.openxmlformats.org/officeDocument/2006/relationships/worksheet" Target="/xl/worksheets/sheet14.xml" Id="R43715369c876479d" /><Relationship Type="http://schemas.openxmlformats.org/officeDocument/2006/relationships/worksheet" Target="/xl/worksheets/sheet15.xml" Id="Ra544c21fee50415f" /><Relationship Type="http://schemas.openxmlformats.org/officeDocument/2006/relationships/worksheet" Target="/xl/worksheets/sheet16.xml" Id="R4e2709d8d72c4fb3" /><Relationship Type="http://schemas.openxmlformats.org/officeDocument/2006/relationships/worksheet" Target="/xl/worksheets/sheet17.xml" Id="R488dc076de064dd4" /></Relationships>
</file>

<file path=xl/drawings/_rels/drawing1.xml.rels>&#65279;<?xml version="1.0" encoding="utf-8"?><Relationships xmlns="http://schemas.openxmlformats.org/package/2006/relationships"><Relationship Type="http://schemas.openxmlformats.org/officeDocument/2006/relationships/chart" Target="/xl/drawings/charts/chart1.xml" Id="Rc1de00e8009747c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125">
                <a:latin typeface="Arial"/>
                <a:ea typeface="Arial"/>
                <a:cs typeface="Arial"/>
              </a:rPr>
              <a:t>Modeled operating scope: cost and funding</a:t>
            </a:r>
          </a:p>
        </c:rich>
      </c:tx>
      <c:overlay val="0"/>
      <c:txPr>
        <a:bodyPr xmlns:a="http://schemas.openxmlformats.org/drawingml/2006/main" anchorCtr="1"/>
        <a:lstStyle xmlns:a="http://schemas.openxmlformats.org/drawingml/2006/main"/>
        <a:p xmlns:a="http://schemas.openxmlformats.org/drawingml/2006/main">
          <a:pPr>
            <a:defRPr sz="1125">
              <a:latin typeface="Arial"/>
              <a:ea typeface="Arial"/>
              <a:cs typeface="Arial"/>
            </a:defRPr>
          </a:pPr>
        </a:p>
      </c:txPr>
    </c:title>
    <c:plotArea>
      <c:lineChart>
        <c:grouping val="standard"/>
        <c:varyColors val="0"/>
        <c:ser>
          <c:idx val="0"/>
          <c:order val="0"/>
          <c:tx>
            <c:v>Operating requirement</c:v>
          </c:tx>
          <c:marker>
            <c:symbol val="none"/>
          </c:marker>
          <c:cat>
            <c:strRef>
              <c:f>'Summary'!$A$41:$A$60</c:f>
              <c:strCache>
                <c:ptCount val="0"/>
              </c:strCache>
            </c:strRef>
          </c:cat>
          <c:val>
            <c:numRef>
              <c:f>'Summary'!$B$41:$B$60</c:f>
              <c:numCache>
                <c:formatCode>$0.0,,"m";($0.0,,"m");–</c:formatCode>
                <c:ptCount val="0"/>
              </c:numCache>
            </c:numRef>
          </c:val>
          <c:smooth val="0"/>
        </c:ser>
        <c:ser>
          <c:idx val="1"/>
          <c:order val="1"/>
          <c:tx>
            <c:v>Operating resources</c:v>
          </c:tx>
          <c:marker>
            <c:symbol val="none"/>
          </c:marker>
          <c:cat>
            <c:strRef>
              <c:f>'Summary'!$A$41:$A$60</c:f>
              <c:strCache>
                <c:ptCount val="0"/>
              </c:strCache>
            </c:strRef>
          </c:cat>
          <c:val>
            <c:numRef>
              <c:f>'Summary'!$C$41:$C$60</c:f>
              <c:numCache>
                <c:formatCode>$0.0,,"m";($0.0,,"m");–</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quot;m&quot;" sourceLinked="0"/>
        <c:majorTickMark val="none"/>
        <c:minorTickMark val="none"/>
        <c:crossAx val="48650112"/>
        <c:crossBetween val="between"/>
      </c:valAx>
    </c:plotArea>
    <c:legend>
      <c:legendPos val="b"/>
      <c:overlay val="0"/>
      <c:txPr>
        <a:bodyPr xmlns:a="http://schemas.openxmlformats.org/drawingml/2006/main" anchorCtr="1"/>
        <a:lstStyle xmlns:a="http://schemas.openxmlformats.org/drawingml/2006/main"/>
        <a:p xmlns:a="http://schemas.openxmlformats.org/drawingml/2006/main">
          <a:pPr>
            <a:defRPr>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62</xdr:row>
      <xdr:rowOff>0</xdr:rowOff>
    </xdr:from>
    <xdr:to>
      <xdr:col>6</xdr:col>
      <xdr:colOff>0</xdr:colOff>
      <xdr:row>80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1de00e8009747c7"/>
        </a:graphicData>
      </a:graphic>
    </xdr:graphicFrame>
    <xdr:clientData/>
  </xdr:twoCellAnchor>
</xdr:wsDr>
</file>

<file path=xl/tables/table1.xml><?xml version="1.0" encoding="utf-8"?>
<x:table xmlns:x="http://schemas.openxmlformats.org/spreadsheetml/2006/main" id="1" name="ParkCostTable" displayName="ParkCostTable" ref="A4:W320" headerRowCount="1" totalsRowCount="0" totalsRowShown="0">
  <x:tableColumns count="23">
    <x:tableColumn id="1" name="ID"/>
    <x:tableColumn id="2" name="Property"/>
    <x:tableColumn id="3" name="Atlas class"/>
    <x:tableColumn id="4" name="District"/>
    <x:tableColumn id="5" name="GIS acres"/>
    <x:tableColumn id="6" name="Core scope"/>
    <x:tableColumn id="7" name="Restroom buildings"/>
    <x:tableColumn id="8" name="Playground sites"/>
    <x:tableColumn id="9" name="Field records"/>
    <x:tableColumn id="10" name="Court records"/>
    <x:tableColumn id="11" name="Water sites"/>
    <x:tableColumn id="12" name="Routine visit hours"/>
    <x:tableColumn id="13" name="Estimated turf acres"/>
    <x:tableColumn id="14" name="Estimated bed acres"/>
    <x:tableColumn id="15" name="Estimated natural acres"/>
    <x:tableColumn id="16" name="Grounds task hours"/>
    <x:tableColumn id="17" name="Natural share hours"/>
    <x:tableColumn id="18" name="Direct field labor $"/>
    <x:tableColumn id="19" name="Rated records"/>
    <x:tableColumn id="20" name="Poor / very bad share"/>
    <x:tableColumn id="21" name="Repair flags"/>
    <x:tableColumn id="22" name="Partners linked"/>
    <x:tableColumn id="23" name="Source / property page"/>
  </x:tableColumns>
  <x:tableStyleInfo name="TableStyleMedium2" showFirstColumn="0" showLastColumn="0" showRowStripes="1" showColumnStripes="0"/>
</x:table>
</file>

<file path=xl/tables/table2.xml><?xml version="1.0" encoding="utf-8"?>
<x:table xmlns:x="http://schemas.openxmlformats.org/spreadsheetml/2006/main" id="2" name="BudgetbaselineTable" displayName="BudgetbaselineTable" ref="A4:G23" headerRowCount="1" totalsRowCount="0" totalsRowShown="0">
  <x:tableColumns count="7">
    <x:tableColumn id="1" name="Program"/>
    <x:tableColumn id="2" name="Bureau expense FY27"/>
    <x:tableColumn id="3" name="Personnel FY27"/>
    <x:tableColumn id="4" name="Career FTE FY27"/>
    <x:tableColumn id="5" name="Other expense"/>
    <x:tableColumn id="6" name="PDF page"/>
    <x:tableColumn id="7" name="Treatment"/>
  </x:tableColumns>
  <x:tableStyleInfo name="TableStyleMedium2" showFirstColumn="0" showLastColumn="0" showRowStripes="1" showColumnStripes="0"/>
</x:table>
</file>

<file path=xl/tables/table3.xml><?xml version="1.0" encoding="utf-8"?>
<x:table xmlns:x="http://schemas.openxmlformats.org/spreadsheetml/2006/main" id="3" name="HistoricrepairsTable" displayName="HistoricrepairsTable" ref="A4:I1199" headerRowCount="1" totalsRowCount="0" totalsRowShown="0">
  <x:tableColumns count="9">
    <x:tableColumn id="1" name="Source row"/>
    <x:tableColumn id="2" name="Property"/>
    <x:tableColumn id="3" name="Project"/>
    <x:tableColumn id="4" name="Building / asset"/>
    <x:tableColumn id="5" name="Description"/>
    <x:tableColumn id="6" name="Historical estimate $"/>
    <x:tableColumn id="7" name="Keyword category"/>
    <x:tableColumn id="8" name="Period / limitation"/>
    <x:tableColumn id="9" name="Source"/>
  </x:tableColumns>
  <x:tableStyleInfo name="TableStyleMedium2" showFirstColumn="0" showLastColumn="0" showRowStripes="1" showColumnStripes="0"/>
</x:table>
</file>

<file path=xl/tables/table4.xml><?xml version="1.0" encoding="utf-8"?>
<x:table xmlns:x="http://schemas.openxmlformats.org/spreadsheetml/2006/main" id="4" name="UseevidenceTable" displayName="UseevidenceTable" ref="A4:K320" headerRowCount="1" totalsRowCount="0" totalsRowShown="0">
  <x:tableColumns count="11">
    <x:tableColumn id="1" name="Property ID"/>
    <x:tableColumn id="2" name="Property"/>
    <x:tableColumn id="3" name="Type"/>
    <x:tableColumn id="4" name="Entry status"/>
    <x:tableColumn id="5" name="Program sections"/>
    <x:tableColumn id="6" name="Reservation catalog sites"/>
    <x:tableColumn id="7" name="Physical reservation resources"/>
    <x:tableColumn id="8" name="Attendance evidence"/>
    <x:tableColumn id="9" name="Utilization evidence"/>
    <x:tableColumn id="10" name="Public hours"/>
    <x:tableColumn id="11" name="Source"/>
  </x:tableColumns>
  <x:tableStyleInfo name="TableStyleMedium2" showFirstColumn="0" showLastColumn="0" showRowStripes="1" showColumnStripes="0"/>
</x:table>
</file>

<file path=xl/tables/table5.xml><?xml version="1.0" encoding="utf-8"?>
<x:table xmlns:x="http://schemas.openxmlformats.org/spreadsheetml/2006/main" id="5" name="ProgramsnapshotTable" displayName="ProgramsnapshotTable" ref="A4:M1371" headerRowCount="1" totalsRowCount="0" totalsRowShown="0">
  <x:tableColumns count="13">
    <x:tableColumn id="1" name="Activity ID"/>
    <x:tableColumn id="2" name="Name"/>
    <x:tableColumn id="3" name="Venue"/>
    <x:tableColumn id="4" name="Category"/>
    <x:tableColumn id="5" name="Phase at capture"/>
    <x:tableColumn id="6" name="Start"/>
    <x:tableColumn id="7" name="End"/>
    <x:tableColumn id="8" name="Enrolled registrations"/>
    <x:tableColumn id="9" name="Waitlist entries"/>
    <x:tableColumn id="10" name="Raw capacity"/>
    <x:tableColumn id="11" name="Validation"/>
    <x:tableColumn id="12" name="Captured at"/>
    <x:tableColumn id="13" name="Source"/>
  </x:tableColumns>
  <x:tableStyleInfo name="TableStyleMedium2" showFirstColumn="0" showLastColumn="0" showRowStripes="1" showColumnStripes="0"/>
</x:table>
</file>

<file path=xl/tables/table6.xml><?xml version="1.0" encoding="utf-8"?>
<x:table xmlns:x="http://schemas.openxmlformats.org/spreadsheetml/2006/main" id="6" name="PartnersTable" displayName="PartnersTable" ref="A4:G116" headerRowCount="1" totalsRowCount="0" totalsRowShown="0">
  <x:tableColumns count="7">
    <x:tableColumn id="1" name="ID"/>
    <x:tableColumn id="2" name="Name"/>
    <x:tableColumn id="3" name="Category"/>
    <x:tableColumn id="4" name="Formality"/>
    <x:tableColumn id="5" name="Scale"/>
    <x:tableColumn id="6" name="Description"/>
    <x:tableColumn id="7" name="Website"/>
  </x:tableColumns>
  <x:tableStyleInfo name="TableStyleMedium2" showFirstColumn="0" showLastColumn="0" showRowStripes="1" showColumnStripes="0"/>
</x:table>
</file>

<file path=xl/tables/table7.xml><?xml version="1.0" encoding="utf-8"?>
<x:table xmlns:x="http://schemas.openxmlformats.org/spreadsheetml/2006/main" id="7" name="EvidencenotesTable" displayName="EvidencenotesTable" ref="A4:C25" headerRowCount="1" totalsRowCount="0" totalsRowShown="0">
  <x:tableColumns count="3">
    <x:tableColumn id="1" name="Topic"/>
    <x:tableColumn id="2" name="Finding / limitation"/>
    <x:tableColumn id="3" name="Sour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9610fc11bacb4646" /></Relationships>
</file>

<file path=xl/worksheets/_rels/sheet3.xml.rels>&#65279;<?xml version="1.0" encoding="utf-8"?><Relationships xmlns="http://schemas.openxmlformats.org/package/2006/relationships"><Relationship Type="http://schemas.openxmlformats.org/officeDocument/2006/relationships/table" Target="/xl/tables/table1.xml" Id="R031b1c98459344c5" /></Relationships>
</file>

<file path=xl/worksheets/_rels/sheet6.xml.rels>&#65279;<?xml version="1.0" encoding="utf-8"?><Relationships xmlns="http://schemas.openxmlformats.org/package/2006/relationships"><Relationship Type="http://schemas.openxmlformats.org/officeDocument/2006/relationships/table" Target="/xl/tables/table2.xml" Id="R7b4570aade7e49c9" /></Relationships>
</file>

<file path=xl/worksheets/_rels/sheet8.xml.rels>&#65279;<?xml version="1.0" encoding="utf-8"?><Relationships xmlns="http://schemas.openxmlformats.org/package/2006/relationships"><Relationship Type="http://schemas.openxmlformats.org/officeDocument/2006/relationships/table" Target="/xl/tables/table3.xml" Id="R99c64c2dca4546dd" /></Relationships>
</file>

<file path=xl/worksheets/_rels/sheet9.xml.rels>&#65279;<?xml version="1.0" encoding="utf-8"?><Relationships xmlns="http://schemas.openxmlformats.org/package/2006/relationships"><Relationship Type="http://schemas.openxmlformats.org/officeDocument/2006/relationships/table" Target="/xl/tables/table4.xml" Id="R9ba42018b56c46ce" /></Relationships>
</file>

<file path=xl/worksheets/_rels/sheet10.xml.rels>&#65279;<?xml version="1.0" encoding="utf-8"?><Relationships xmlns="http://schemas.openxmlformats.org/package/2006/relationships"><Relationship Type="http://schemas.openxmlformats.org/officeDocument/2006/relationships/table" Target="/xl/tables/table5.xml" Id="R9551e371fb144872" /></Relationships>
</file>

<file path=xl/worksheets/_rels/sheet11.xml.rels>&#65279;<?xml version="1.0" encoding="utf-8"?><Relationships xmlns="http://schemas.openxmlformats.org/package/2006/relationships"><Relationship Type="http://schemas.openxmlformats.org/officeDocument/2006/relationships/table" Target="/xl/tables/table6.xml" Id="R5c7d0a098bb34eff" /></Relationships>
</file>

<file path=xl/worksheets/_rels/sheet12.xml.rels>&#65279;<?xml version="1.0" encoding="utf-8"?><Relationships xmlns="http://schemas.openxmlformats.org/package/2006/relationships"><Relationship Type="http://schemas.openxmlformats.org/officeDocument/2006/relationships/table" Target="/xl/tables/table7.xml" Id="R1b51818385b74857" /></Relationships>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49" hidden="0" customWidth="1"/>
    <x:col min="2" max="2" width="25" hidden="0" customWidth="1"/>
    <x:col min="3" max="3" width="25" hidden="0" customWidth="1"/>
    <x:col min="4" max="4" width="25" hidden="0" customWidth="1"/>
    <x:col min="5" max="5" width="93" hidden="0" customWidth="1"/>
  </x:cols>
  <x:sheetData>
    <x:row r="1" ht="32" customHeight="1">
      <x:c r="A1" s="1" t="str">
        <x:v>Portland Parks | operations and funding</x:v>
      </x:c>
    </x:row>
    <x:row r="2" ht="42" customHeight="1">
      <x:c r="A2" s="3" t="str">
        <x:v>Funding revision · October 13, 2026. Planning requirements and proposed receipts are not City appropriations. Read Review status before using staffing or per-park estimates as recommendations.</x:v>
      </x:c>
      <x:c r="B2" s="3"/>
      <x:c r="C2" s="3"/>
      <x:c r="D2" s="3"/>
      <x:c r="E2" s="3"/>
    </x:row>
    <x:row r="4" ht="36" customHeight="1">
      <x:c r="A4" s="6" t="str">
        <x:v>Decision measure</x:v>
      </x:c>
      <x:c r="B4" s="6" t="str">
        <x:v>Existing reference</x:v>
      </x:c>
      <x:c r="C4" s="6" t="str">
        <x:v>Planning requirement</x:v>
      </x:c>
      <x:c r="D4" s="6" t="str">
        <x:v>Increment / gap</x:v>
      </x:c>
      <x:c r="E4" s="6" t="str">
        <x:v>Interpretation</x:v>
      </x:c>
    </x:row>
    <x:row r="5" ht="46" customHeight="1">
      <x:c r="A5" s="56" t="str">
        <x:v>Continuing operations</x:v>
      </x:c>
      <x:c r="B5" s="128" t="n">
        <x:f>Staffing!E13</x:f>
        <x:v>240180115</x:v>
      </x:c>
      <x:c r="C5" s="128" t="n">
        <x:f>Staffing!F13</x:f>
        <x:v>257067131</x:v>
      </x:c>
      <x:c r="D5" s="128" t="n">
        <x:f>C5-B5</x:f>
        <x:v>16887016</x:v>
      </x:c>
      <x:c r="E5" s="76" t="str">
        <x:v>Provisional workload cost. Adopted operating funding is conditionally preserved; not a verified long-term revenue base.</x:v>
      </x:c>
    </x:row>
    <x:row r="6" ht="46" customHeight="1">
      <x:c r="A6" s="55" t="str">
        <x:v>Annual steady-state asset renewal</x:v>
      </x:c>
      <x:c r="B6" s="129" t="n">
        <x:f>'Funding forecast'!B60+'Funding forecast'!B61</x:f>
        <x:v>6748044.778571414</x:v>
      </x:c>
      <x:c r="C6" s="129" t="n">
        <x:f>Capital!D13</x:f>
        <x:v>67367456.00000001</x:v>
      </x:c>
      <x:c r="D6" s="129" t="n">
        <x:f>'Funding forecast'!B62</x:f>
        <x:v>60619411.2214286</x:v>
      </x:c>
      <x:c r="E6" s="58" t="str">
        <x:v>Existing column is approximate annual funding, not current spending. Need column is annual cost provision.</x:v>
      </x:c>
    </x:row>
    <x:row r="7" ht="46" customHeight="1">
      <x:c r="A7" s="56" t="str">
        <x:v>Backlog catch-up: annual cash provision</x:v>
      </x:c>
      <x:c r="B7" s="128"/>
      <x:c r="C7" s="128" t="n">
        <x:f>Capital!D19</x:f>
        <x:v>50600000</x:v>
      </x:c>
      <x:c r="D7" s="128"/>
      <x:c r="E7" s="76" t="str">
        <x:v>$759m / 15 years, no overlap credit; current project schedules must remove duplicate renewal scope.</x:v>
      </x:c>
    </x:row>
    <x:row r="8" ht="46" customHeight="1">
      <x:c r="A8" s="57" t="str">
        <x:v>Additional annual CASH funding requirement</x:v>
      </x:c>
      <x:c r="B8" s="138"/>
      <x:c r="C8" s="138" t="n">
        <x:f>'Funding forecast'!B64</x:f>
        <x:v>128106427.2214286</x:v>
      </x:c>
      <x:c r="D8" s="138"/>
      <x:c r="E8" s="139" t="str">
        <x:v>Full-target annual cash need, excluding growth, transition, reserve buildup and financing. Assumptions require validation before pricing a tax.</x:v>
      </x:c>
    </x:row>
    <x:row r="9" ht="46" customHeight="1">
      <x:c r="A9" s="56" t="str">
        <x:v>Original assumptions: corrected funding bridge</x:v>
      </x:c>
      <x:c r="B9" s="128"/>
      <x:c r="C9" s="128" t="n">
        <x:f>'Funding forecast'!B69</x:f>
        <x:v>114864828.57142858</x:v>
      </x:c>
      <x:c r="D9" s="128"/>
      <x:c r="E9" s="76" t="str">
        <x:v>About $115m even before removing the overlap credit/updating backlog. The old +$32m comparison was not a funding gap.</x:v>
      </x:c>
    </x:row>
    <x:row r="10" ht="46" customHeight="1">
      <x:c r="A10" s="55"/>
      <x:c r="B10" s="129"/>
      <x:c r="C10" s="129"/>
      <x:c r="D10" s="129"/>
      <x:c r="E10" s="58"/>
    </x:row>
    <x:row r="11" ht="46" customHeight="1">
      <x:c r="A11" s="56" t="str">
        <x:v>Capital Development appropriation</x:v>
      </x:c>
      <x:c r="B11" s="128" t="n">
        <x:f>Staffing!E11</x:f>
        <x:v>99635318</x:v>
      </x:c>
      <x:c r="C11" s="128"/>
      <x:c r="D11" s="128"/>
      <x:c r="E11" s="76" t="str">
        <x:v>FY27 program appropriation. Do not subtract it from annual renewal need to infer recurring funding.</x:v>
      </x:c>
    </x:row>
    <x:row r="12" ht="46" customHeight="1">
      <x:c r="A12" s="55" t="str">
        <x:v>Separate access / growth allowance</x:v>
      </x:c>
      <x:c r="B12" s="129"/>
      <x:c r="C12" s="129" t="n">
        <x:f>Capital!D20</x:f>
        <x:v>10000000</x:v>
      </x:c>
      <x:c r="D12" s="129"/>
      <x:c r="E12" s="58" t="str">
        <x:v>Unfunded unless eligible sources are specifically matched. ADA repairs and growth need separate eligibility.</x:v>
      </x:c>
    </x:row>
    <x:row r="13" ht="46" customHeight="1">
      <x:c r="A13" s="56" t="str">
        <x:v>One-time implementation</x:v>
      </x:c>
      <x:c r="B13" s="128"/>
      <x:c r="C13" s="128" t="n">
        <x:f>Capital!D25</x:f>
        <x:v>3000000</x:v>
      </x:c>
      <x:c r="D13" s="128"/>
      <x:c r="E13" s="76" t="str">
        <x:v>Provisional two-year transition; source not committed.</x:v>
      </x:c>
    </x:row>
    <x:row r="14" ht="46" customHeight="1">
      <x:c r="A14" s="55"/>
      <x:c r="B14" s="129"/>
      <x:c r="C14" s="129"/>
      <x:c r="D14" s="129"/>
      <x:c r="E14" s="58"/>
    </x:row>
    <x:row r="15" ht="46" customHeight="1">
      <x:c r="A15" s="56" t="str">
        <x:v>Career FTE: unvalidated operating case</x:v>
      </x:c>
      <x:c r="B15" s="130" t="n">
        <x:f>'Budget baseline'!D25</x:f>
        <x:v>723.22</x:v>
      </x:c>
      <x:c r="C15" s="130" t="n">
        <x:f>Staffing!C14</x:f>
        <x:v>796.1700000000001</x:v>
      </x:c>
      <x:c r="D15" s="130"/>
      <x:c r="E15" s="76" t="str">
        <x:v>Post-transfer/post-cut baseline. 796 is not an optimized staffing recommendation; trades result is not a cut proposal.</x:v>
      </x:c>
    </x:row>
    <x:row r="16" ht="46" customHeight="1">
      <x:c r="A16" s="55" t="str">
        <x:v>Core task hours</x:v>
      </x:c>
      <x:c r="B16" s="129"/>
      <x:c r="C16" s="131" t="n">
        <x:f>SUM(Workload!G5:G40)</x:f>
        <x:v>446127.7051339986</x:v>
      </x:c>
      <x:c r="D16" s="129"/>
      <x:c r="E16" s="58" t="str">
        <x:v>Reconcile with 409,598 reported maintenance hours by task and time definition.</x:v>
      </x:c>
    </x:row>
    <x:row r="17" ht="46" customHeight="1">
      <x:c r="A17" s="56"/>
      <x:c r="B17" s="128"/>
      <x:c r="C17" s="128"/>
      <x:c r="D17" s="128"/>
      <x:c r="E17" s="76"/>
    </x:row>
    <x:row r="18" ht="46" customHeight="1">
      <x:c r="A18" s="57" t="str">
        <x:v>ACTIVE FUNDING CASE</x:v>
      </x:c>
      <x:c r="B18" s="138"/>
      <x:c r="C18" s="140" t="str">
        <x:f>'Funding inputs'!B6</x:f>
        <x:v>Service target proposal</x:v>
      </x:c>
      <x:c r="D18" s="141"/>
      <x:c r="E18" s="139" t="str">
        <x:v>Change Funding inputs B5: 1 existing authorizations; 2 service proposal; 3 downside.</x:v>
      </x:c>
    </x:row>
    <x:row r="19" ht="46" customHeight="1">
      <x:c r="A19" s="56" t="str">
        <x:v>FY2028–29 proposed new recurring receipts</x:v>
      </x:c>
      <x:c r="B19" s="128"/>
      <x:c r="C19" s="128" t="n">
        <x:f>'Funding forecast'!D30</x:f>
        <x:v>114197316.20893691</x:v>
      </x:c>
      <x:c r="D19" s="128"/>
      <x:c r="E19" s="76" t="str">
        <x:v>Operating enhancement + renewal + staged debt levy. Entire amount is proposed, not secured.</x:v>
      </x:c>
    </x:row>
    <x:row r="20" ht="46" customHeight="1">
      <x:c r="A20" s="55" t="str">
        <x:v>FY2031–32 proposed recurring receipts</x:v>
      </x:c>
      <x:c r="B20" s="129"/>
      <x:c r="C20" s="129" t="n">
        <x:f>'Funding forecast'!G30</x:f>
        <x:v>233213716.07492924</x:v>
      </x:c>
      <x:c r="D20" s="129"/>
      <x:c r="E20" s="58" t="str">
        <x:v>Includes replacing the expired operating levy; must not all be described as additional money.</x:v>
      </x:c>
    </x:row>
    <x:row r="21" ht="46" customHeight="1">
      <x:c r="A21" s="57" t="str">
        <x:v>FY2031–32 unfunded requirements</x:v>
      </x:c>
      <x:c r="B21" s="138"/>
      <x:c r="C21" s="138" t="n">
        <x:f>'Funding forecast'!G46</x:f>
        <x:v>11592740.743</x:v>
      </x:c>
      <x:c r="D21" s="138"/>
      <x:c r="E21" s="139" t="str">
        <x:v>Includes remaining operating, renewal, backlog, transition and growth gaps; excludes reserve target.</x:v>
      </x:c>
    </x:row>
    <x:row r="22" ht="46" customHeight="1">
      <x:c r="A22" s="57" t="str">
        <x:v>FY2045–46 unfunded requirements</x:v>
      </x:c>
      <x:c r="B22" s="138"/>
      <x:c r="C22" s="138" t="n">
        <x:f>'Funding forecast'!U46</x:f>
        <x:v>17535060.530771017</x:v>
      </x:c>
      <x:c r="D22" s="138"/>
      <x:c r="E22" s="139" t="str">
        <x:v>Model scope only. Remaining adopted operating programs need their own reconciled forecast.</x:v>
      </x:c>
    </x:row>
    <x:row r="23" ht="46" customHeight="1">
      <x:c r="A23" s="56"/>
      <x:c r="B23" s="128"/>
      <x:c r="C23" s="128"/>
      <x:c r="D23" s="128"/>
      <x:c r="E23" s="76"/>
    </x:row>
    <x:row r="24" ht="46" customHeight="1">
      <x:c r="A24" s="55" t="str">
        <x:v>Staged repair bond gross principal</x:v>
      </x:c>
      <x:c r="B24" s="129"/>
      <x:c r="C24" s="129" t="n">
        <x:f>'Bond financing'!B9</x:f>
        <x:v>1018794224.250021</x:v>
      </x:c>
      <x:c r="D24" s="129"/>
      <x:c r="E24" s="58" t="str">
        <x:v>Three issues; escalated project costs plus 2% issuance allowance. Not a proposed ballot amount.</x:v>
      </x:c>
    </x:row>
    <x:row r="25" ht="46" customHeight="1">
      <x:c r="A25" s="56" t="str">
        <x:v>Repair bond lifetime debt payments</x:v>
      </x:c>
      <x:c r="B25" s="128"/>
      <x:c r="C25" s="128" t="n">
        <x:f>'Bond financing'!B11</x:f>
        <x:v>1635013687.375101</x:v>
      </x:c>
      <x:c r="D25" s="128"/>
      <x:c r="E25" s="76" t="str">
        <x:v>Includes all principal and interest through final payment, beyond the 20-year forecast where necessary.</x:v>
      </x:c>
    </x:row>
    <x:row r="26" ht="46" customHeight="1">
      <x:c r="A26" s="55" t="str">
        <x:v>Repair bond lifetime interest</x:v>
      </x:c>
      <x:c r="B26" s="129"/>
      <x:c r="C26" s="129" t="n">
        <x:f>'Bond financing'!B12</x:f>
        <x:v>616219463.1250813</x:v>
      </x:c>
      <x:c r="D26" s="129"/>
      <x:c r="E26" s="58" t="str">
        <x:v>At illustrative 5% / 20-year terms. Borrowing accelerates work and adds financing cost.</x:v>
      </x:c>
    </x:row>
    <x:row r="27" ht="46" customHeight="1">
      <x:c r="A27" s="56"/>
      <x:c r="B27" s="128"/>
      <x:c r="C27" s="128"/>
      <x:c r="D27" s="128"/>
      <x:c r="E27" s="76"/>
    </x:row>
    <x:row r="28" ht="46" customHeight="1">
      <x:c r="A28" s="55" t="str">
        <x:v>FY2031–32 reserve shortfall</x:v>
      </x:c>
      <x:c r="B28" s="129"/>
      <x:c r="C28" s="129" t="n">
        <x:f>'Funding forecast'!G44</x:f>
        <x:v>7996293.186395261</x:v>
      </x:c>
      <x:c r="D28" s="129"/>
      <x:c r="E28" s="58" t="str">
        <x:v>Three-month target for modeled operating block only; no unverified carryover credited.</x:v>
      </x:c>
    </x:row>
    <x:row r="29" ht="46" customHeight="1">
      <x:c r="A29" s="56"/>
      <x:c r="B29" s="132"/>
      <x:c r="C29" s="132"/>
      <x:c r="D29" s="132"/>
      <x:c r="E29" s="76"/>
    </x:row>
    <x:row r="30" ht="66" customHeight="1">
      <x:c r="A30" s="55" t="str">
        <x:v>Policy direction</x:v>
      </x:c>
      <x:c r="B30" s="133"/>
      <x:c r="C30" s="133"/>
      <x:c r="D30" s="133"/>
      <x:c r="E30" s="58" t="str">
        <x:v>Preserve City support; fund annual renewal; prepare a deliverable staged repair program; compare a successor levy with district feasibility. Do not replace existing support without showing the net service effect.</x:v>
      </x:c>
    </x:row>
    <x:row r="31" ht="66" customHeight="1">
      <x:c r="A31" s="56" t="str">
        <x:v>How to use</x:v>
      </x:c>
      <x:c r="B31" s="132"/>
      <x:c r="C31" s="132"/>
      <x:c r="D31" s="132"/>
      <x:c r="E31" s="76" t="str">
        <x:v>Start with Funding inputs, then Funding forecast and Bond financing. Fund register reconciles all adopted fund resources. Review status lists unresolved operational fixes.</x:v>
      </x:c>
    </x:row>
    <x:row r="32" ht="46" customHeight="1">
      <x:c r="A32" s="55"/>
      <x:c r="B32" s="133"/>
      <x:c r="C32" s="133"/>
      <x:c r="D32" s="133"/>
      <x:c r="E32" s="58"/>
    </x:row>
    <x:row r="33" ht="46" customHeight="1">
      <x:c r="A33" s="56" t="str">
        <x:v>Accounting checks (not funding adequacy)</x:v>
      </x:c>
      <x:c r="B33" s="132"/>
      <x:c r="C33" s="132"/>
      <x:c r="D33" s="132"/>
      <x:c r="E33" s="76"/>
    </x:row>
    <x:row r="34" ht="46" customHeight="1">
      <x:c r="A34" s="55" t="str">
        <x:v>Budget and fund resources reconciliation</x:v>
      </x:c>
      <x:c r="B34" s="133"/>
      <x:c r="C34" s="134" t="n">
        <x:f>('Budget baseline'!B25-339815433)+('Fund register'!B15-493724866)</x:f>
        <x:v>0</x:v>
      </x:c>
      <x:c r="D34" s="133"/>
      <x:c r="E34" s="58"/>
    </x:row>
    <x:row r="35" ht="46" customHeight="1">
      <x:c r="A35" s="56" t="str">
        <x:v>Career baseline reconciliation</x:v>
      </x:c>
      <x:c r="B35" s="132"/>
      <x:c r="C35" s="135" t="n">
        <x:f>ROUND('Budget baseline'!D25-723.22,4)</x:f>
        <x:v>0</x:v>
      </x:c>
      <x:c r="D35" s="132"/>
      <x:c r="E35" s="76"/>
    </x:row>
    <x:row r="36" ht="46" customHeight="1">
      <x:c r="A36" s="55" t="str">
        <x:v>Debt principal reconciliation</x:v>
      </x:c>
      <x:c r="B36" s="133"/>
      <x:c r="C36" s="134" t="n">
        <x:f>SUM('Bond financing'!I17:I56)-SUM('Bond financing'!L17:L56)-'Bond financing'!M56</x:f>
        <x:v>4.999571236252084e-7</x:v>
      </x:c>
      <x:c r="D36" s="133"/>
      <x:c r="E36" s="58"/>
    </x:row>
    <x:row r="37" ht="25" customHeight="1">
      <x:c r="A37" s="56"/>
      <x:c r="B37" s="56"/>
      <x:c r="C37" s="56"/>
      <x:c r="D37" s="56"/>
      <x:c r="E37" s="56"/>
    </x:row>
    <x:row r="38" ht="25" customHeight="1">
      <x:c r="A38" s="55"/>
      <x:c r="B38" s="55"/>
      <x:c r="C38" s="55"/>
      <x:c r="D38" s="55"/>
      <x:c r="E38" s="55"/>
    </x:row>
    <x:row r="39" ht="25" customHeight="1">
      <x:c r="A39" s="56"/>
      <x:c r="B39" s="56"/>
      <x:c r="C39" s="56"/>
      <x:c r="D39" s="56"/>
      <x:c r="E39" s="56"/>
    </x:row>
    <x:row r="40" ht="36" customHeight="1">
      <x:c r="A40" s="144" t="str">
        <x:v>Fiscal year</x:v>
      </x:c>
      <x:c r="B40" s="144" t="str">
        <x:v>Operating requirement</x:v>
      </x:c>
      <x:c r="C40" s="144" t="str">
        <x:v>Operating resources</x:v>
      </x:c>
      <x:c r="D40" s="55"/>
      <x:c r="E40" s="55"/>
    </x:row>
    <x:row r="41" ht="25" customHeight="1">
      <x:c r="A41" s="56" t="str">
        <x:v>FY2026–27</x:v>
      </x:c>
      <x:c r="B41" s="91" t="n">
        <x:f>'Funding forecast'!B8</x:f>
        <x:v>79827378.22142857</x:v>
      </x:c>
      <x:c r="C41" s="91" t="n">
        <x:f>'Funding forecast'!B13</x:f>
        <x:v>79827378.22142857</x:v>
      </x:c>
      <x:c r="D41" s="56"/>
      <x:c r="E41" s="56"/>
    </x:row>
    <x:row r="42" ht="25" customHeight="1">
      <x:c r="A42" s="55" t="str">
        <x:v>FY2027–28</x:v>
      </x:c>
      <x:c r="B42" s="78" t="n">
        <x:f>'Funding forecast'!C8</x:f>
        <x:v>83419610.24139285</x:v>
      </x:c>
      <x:c r="C42" s="78" t="n">
        <x:f>'Funding forecast'!C13</x:f>
        <x:v>82222199.56807144</x:v>
      </x:c>
      <x:c r="D42" s="55"/>
      <x:c r="E42" s="55"/>
    </x:row>
    <x:row r="43" ht="25" customHeight="1">
      <x:c r="A43" s="56" t="str">
        <x:v>FY2028–29</x:v>
      </x:c>
      <x:c r="B43" s="91" t="n">
        <x:f>'Funding forecast'!D8</x:f>
        <x:v>105614536.34965551</x:v>
      </x:c>
      <x:c r="C43" s="91" t="n">
        <x:f>'Funding forecast'!D13</x:f>
        <x:v>108713415.55511357</x:v>
      </x:c>
      <x:c r="D43" s="56"/>
      <x:c r="E43" s="56"/>
    </x:row>
    <x:row r="44">
      <x:c r="A44" t="str">
        <x:v>FY2029–30</x:v>
      </x:c>
      <x:c r="B44" s="145" t="n">
        <x:f>'Funding forecast'!E8</x:f>
        <x:v>110367190.48539002</x:v>
      </x:c>
      <x:c r="C44" s="145" t="n">
        <x:f>'Funding forecast'!E13</x:f>
        <x:v>112335186.27176698</x:v>
      </x:c>
    </x:row>
    <x:row r="45">
      <x:c r="A45" t="str">
        <x:v>FY2030–31</x:v>
      </x:c>
      <x:c r="B45" s="145" t="n">
        <x:f>'Funding forecast'!F8</x:f>
        <x:v>115333714.05723256</x:v>
      </x:c>
      <x:c r="C45" s="145" t="n">
        <x:f>'Funding forecast'!F13</x:f>
        <x:v>116081826.68116999</x:v>
      </x:c>
    </x:row>
    <x:row r="46">
      <x:c r="A46" t="str">
        <x:v>FY2031–32</x:v>
      </x:c>
      <x:c r="B46" s="145" t="n">
        <x:f>'Funding forecast'!G8</x:f>
        <x:v>120523731.18980803</x:v>
      </x:c>
      <x:c r="C46" s="145" t="n">
        <x:f>'Funding forecast'!G13</x:f>
        <x:v>136843383.18509233</x:v>
      </x:c>
    </x:row>
    <x:row r="47">
      <x:c r="A47" t="str">
        <x:v>FY2032–33</x:v>
      </x:c>
      <x:c r="B47" s="145" t="n">
        <x:f>'Funding forecast'!H8</x:f>
        <x:v>125947299.09334938</x:v>
      </x:c>
      <x:c r="C47" s="145" t="n">
        <x:f>'Funding forecast'!H13</x:f>
        <x:v>143001335.4284215</x:v>
      </x:c>
    </x:row>
    <x:row r="48">
      <x:c r="A48" t="str">
        <x:v>FY2033–34</x:v>
      </x:c>
      <x:c r="B48" s="145" t="n">
        <x:f>'Funding forecast'!I8</x:f>
        <x:v>131614927.55255008</x:v>
      </x:c>
      <x:c r="C48" s="145" t="n">
        <x:f>'Funding forecast'!I13</x:f>
        <x:v>149436395.52270043</x:v>
      </x:c>
    </x:row>
    <x:row r="49">
      <x:c r="A49" t="str">
        <x:v>FY2034–35</x:v>
      </x:c>
      <x:c r="B49" s="145" t="n">
        <x:f>'Funding forecast'!J8</x:f>
        <x:v>137537599.2924148</x:v>
      </x:c>
      <x:c r="C49" s="145" t="n">
        <x:f>'Funding forecast'!J13</x:f>
        <x:v>156161033.32122195</x:v>
      </x:c>
    </x:row>
    <x:row r="50">
      <x:c r="A50" t="str">
        <x:v>FY2035–36</x:v>
      </x:c>
      <x:c r="B50" s="145" t="n">
        <x:f>'Funding forecast'!K8</x:f>
        <x:v>143726791.26057348</x:v>
      </x:c>
      <x:c r="C50" s="145" t="n">
        <x:f>'Funding forecast'!K13</x:f>
        <x:v>163188279.82067692</x:v>
      </x:c>
    </x:row>
    <x:row r="51">
      <x:c r="A51" t="str">
        <x:v>FY2036–37</x:v>
      </x:c>
      <x:c r="B51" s="145" t="n">
        <x:f>'Funding forecast'!L8</x:f>
        <x:v>150194496.86729926</x:v>
      </x:c>
      <x:c r="C51" s="145" t="n">
        <x:f>'Funding forecast'!L13</x:f>
        <x:v>170531752.41260737</x:v>
      </x:c>
    </x:row>
    <x:row r="52">
      <x:c r="A52" t="str">
        <x:v>FY2037–38</x:v>
      </x:c>
      <x:c r="B52" s="145" t="n">
        <x:f>'Funding forecast'!M8</x:f>
        <x:v>156953249.22632775</x:v>
      </x:c>
      <x:c r="C52" s="145" t="n">
        <x:f>'Funding forecast'!M13</x:f>
        <x:v>178205681.2711747</x:v>
      </x:c>
    </x:row>
    <x:row r="53">
      <x:c r="A53" t="str">
        <x:v>FY2038–39</x:v>
      </x:c>
      <x:c r="B53" s="145" t="n">
        <x:f>'Funding forecast'!N8</x:f>
        <x:v>164016145.44151247</x:v>
      </x:c>
      <x:c r="C53" s="145" t="n">
        <x:f>'Funding forecast'!N13</x:f>
        <x:v>186224936.92837754</x:v>
      </x:c>
    </x:row>
    <x:row r="54">
      <x:c r="A54" t="str">
        <x:v>FY2039–40</x:v>
      </x:c>
      <x:c r="B54" s="145" t="n">
        <x:f>'Funding forecast'!O8</x:f>
        <x:v>171396871.98638052</x:v>
      </x:c>
      <x:c r="C54" s="145" t="n">
        <x:f>'Funding forecast'!O13</x:f>
        <x:v>194605059.0901545</x:v>
      </x:c>
    </x:row>
    <x:row r="55">
      <x:c r="A55" t="str">
        <x:v>FY2040–41</x:v>
      </x:c>
      <x:c r="B55" s="145" t="n">
        <x:f>'Funding forecast'!P8</x:f>
        <x:v>179109731.22576764</x:v>
      </x:c>
      <x:c r="C55" s="145" t="n">
        <x:f>'Funding forecast'!P13</x:f>
        <x:v>203362286.74921143</x:v>
      </x:c>
    </x:row>
    <x:row r="56">
      <x:c r="A56" t="str">
        <x:v>FY2041–42</x:v>
      </x:c>
      <x:c r="B56" s="145" t="n">
        <x:f>'Funding forecast'!Q8</x:f>
        <x:v>187169669.13092715</x:v>
      </x:c>
      <x:c r="C56" s="145" t="n">
        <x:f>'Funding forecast'!Q13</x:f>
        <x:v>212513589.65292594</x:v>
      </x:c>
    </x:row>
    <x:row r="57">
      <x:c r="A57" t="str">
        <x:v>FY2042–43</x:v>
      </x:c>
      <x:c r="B57" s="145" t="n">
        <x:f>'Funding forecast'!R8</x:f>
        <x:v>195592304.24181888</x:v>
      </x:c>
      <x:c r="C57" s="145" t="n">
        <x:f>'Funding forecast'!R13</x:f>
        <x:v>222076701.18730763</x:v>
      </x:c>
    </x:row>
    <x:row r="58">
      <x:c r="A58" t="str">
        <x:v>FY2043–44</x:v>
      </x:c>
      <x:c r="B58" s="145" t="n">
        <x:f>'Funding forecast'!S8</x:f>
        <x:v>204393957.9327007</x:v>
      </x:c>
      <x:c r="C58" s="145" t="n">
        <x:f>'Funding forecast'!S13</x:f>
        <x:v>232070152.74073642</x:v>
      </x:c>
    </x:row>
    <x:row r="59">
      <x:c r="A59" t="str">
        <x:v>FY2044–45</x:v>
      </x:c>
      <x:c r="B59" s="145" t="n">
        <x:f>'Funding forecast'!T8</x:f>
        <x:v>213591686.03967223</x:v>
      </x:c>
      <x:c r="C59" s="145" t="n">
        <x:f>'Funding forecast'!T13</x:f>
        <x:v>242513309.61406955</x:v>
      </x:c>
    </x:row>
    <x:row r="60">
      <x:c r="A60" t="str">
        <x:v>FY2045–46</x:v>
      </x:c>
      <x:c r="B60" s="145" t="n">
        <x:f>'Funding forecast'!U8</x:f>
        <x:v>223203311.91145745</x:v>
      </x:c>
      <x:c r="C60" s="145" t="n">
        <x:f>'Funding forecast'!U13</x:f>
        <x:v>253426408.54670268</x:v>
      </x:c>
    </x:row>
  </x:sheetData>
  <x:mergeCells>
    <x:mergeCell ref="A2:E2"/>
    <x:mergeCell ref="C18:D18"/>
  </x:mergeCells>
  <x:pageMargins left="0.7" right="0.7" top="0.75" bottom="0.75" header="0.3" footer="0.3"/>
  <x:drawing xmlns:r="http://schemas.openxmlformats.org/officeDocument/2006/relationships" r:id="R9610fc11bacb4646"/>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52" hidden="0" customWidth="1"/>
    <x:col min="2" max="2" width="20" hidden="0" customWidth="1"/>
    <x:col min="3" max="3" width="23" hidden="0" customWidth="1"/>
    <x:col min="4" max="4" width="100" hidden="0" customWidth="1"/>
  </x:cols>
  <x:sheetData>
    <x:row r="1" ht="32" customHeight="1">
      <x:c r="A1" s="1" t="str">
        <x:v>Service inputs</x:v>
      </x:c>
    </x:row>
    <x:row r="2" ht="42" customHeight="1">
      <x:c r="A2" s="3" t="str">
        <x:v>Planning assumptions in blue. Change these to test service levels; all dollar figures use a 2026 planning basis unless labeled otherwise.</x:v>
      </x:c>
      <x:c r="B2" s="3"/>
      <x:c r="C2" s="3"/>
      <x:c r="D2" s="3"/>
    </x:row>
    <x:row r="4" ht="34" customHeight="1">
      <x:c r="A4" s="6" t="str">
        <x:v>Editable input</x:v>
      </x:c>
      <x:c r="B4" s="6" t="str">
        <x:v>Base value</x:v>
      </x:c>
      <x:c r="C4" s="6" t="str">
        <x:v>Unit</x:v>
      </x:c>
      <x:c r="D4" s="6" t="str">
        <x:v>Basis / qualification</x:v>
      </x:c>
    </x:row>
    <x:row r="5" ht="32" customHeight="1">
      <x:c r="A5" s="8" t="str">
        <x:v>Career productive hours / year</x:v>
      </x:c>
      <x:c r="B5" s="50" t="n">
        <x:v>1450</x:v>
      </x:c>
      <x:c r="C5" s="8" t="str">
        <x:v>hours</x:v>
      </x:c>
      <x:c r="D5" s="11" t="str">
        <x:v>Assumption: 2080 paid hours less leave, training, travel, coordination and weather.</x:v>
      </x:c>
    </x:row>
    <x:row r="6" ht="32" customHeight="1">
      <x:c r="A6" s="7" t="str">
        <x:v>Seasonal productive hours / annualized FTE</x:v>
      </x:c>
      <x:c r="B6" s="51" t="n">
        <x:v>1600</x:v>
      </x:c>
      <x:c r="C6" s="7" t="str">
        <x:v>hours</x:v>
      </x:c>
      <x:c r="D6" s="12" t="str">
        <x:v>Assumption; FTE is 2080 paid hours, not number of people hired.</x:v>
      </x:c>
    </x:row>
    <x:row r="7" ht="32" customHeight="1">
      <x:c r="A7" s="8" t="str">
        <x:v>Grounds career loaded cost</x:v>
      </x:c>
      <x:c r="B7" s="50" t="n">
        <x:v>145000</x:v>
      </x:c>
      <x:c r="C7" s="8" t="str">
        <x:v>$/FTE</x:v>
      </x:c>
      <x:c r="D7" s="11" t="str">
        <x:v>Planning salary, benefits and payroll cost; not a negotiated wage quote.</x:v>
      </x:c>
    </x:row>
    <x:row r="8" ht="32" customHeight="1">
      <x:c r="A8" s="7" t="str">
        <x:v>Grounds seasonal loaded cost</x:v>
      </x:c>
      <x:c r="B8" s="51" t="n">
        <x:v>80000</x:v>
      </x:c>
      <x:c r="C8" s="7" t="str">
        <x:v>$/FTE</x:v>
      </x:c>
      <x:c r="D8" s="12" t="str">
        <x:v>Annualized employee cost; actual seasonal headcount depends on paid duration.</x:v>
      </x:c>
    </x:row>
    <x:row r="9" ht="32" customHeight="1">
      <x:c r="A9" s="8" t="str">
        <x:v>Trades career loaded cost</x:v>
      </x:c>
      <x:c r="B9" s="50" t="n">
        <x:v>170000</x:v>
      </x:c>
      <x:c r="C9" s="8" t="str">
        <x:v>$/FTE</x:v>
      </x:c>
      <x:c r="D9" s="11" t="str">
        <x:v>Planning allowance; machinery/materials remain in nonlabor.</x:v>
      </x:c>
    </x:row>
    <x:row r="10" ht="32" customHeight="1">
      <x:c r="A10" s="7" t="str">
        <x:v>Ecology career loaded cost</x:v>
      </x:c>
      <x:c r="B10" s="51" t="n">
        <x:v>160000</x:v>
      </x:c>
      <x:c r="C10" s="7" t="str">
        <x:v>$/FTE</x:v>
      </x:c>
      <x:c r="D10" s="12" t="str">
        <x:v>Planning allowance.</x:v>
      </x:c>
    </x:row>
    <x:row r="11" ht="32" customHeight="1">
      <x:c r="A11" s="8" t="str">
        <x:v>Ecology seasonal loaded cost</x:v>
      </x:c>
      <x:c r="B11" s="50" t="n">
        <x:v>85000</x:v>
      </x:c>
      <x:c r="C11" s="8" t="str">
        <x:v>$/FTE</x:v>
      </x:c>
      <x:c r="D11" s="11" t="str">
        <x:v>Planning allowance.</x:v>
      </x:c>
    </x:row>
    <x:row r="12" ht="32" customHeight="1">
      <x:c r="A12" s="7" t="str">
        <x:v>Field supervisor loaded cost</x:v>
      </x:c>
      <x:c r="B12" s="51" t="n">
        <x:v>185000</x:v>
      </x:c>
      <x:c r="C12" s="7" t="str">
        <x:v>$/FTE</x:v>
      </x:c>
      <x:c r="D12" s="12" t="str">
        <x:v>Planning allowance.</x:v>
      </x:c>
    </x:row>
    <x:row r="13" ht="32" customHeight="1">
      <x:c r="A13" s="8" t="str">
        <x:v>Visitor services career loaded cost</x:v>
      </x:c>
      <x:c r="B13" s="50" t="n">
        <x:v>155000</x:v>
      </x:c>
      <x:c r="C13" s="8" t="str">
        <x:v>$/FTE</x:v>
      </x:c>
      <x:c r="D13" s="11" t="str">
        <x:v>Planning allowance.</x:v>
      </x:c>
    </x:row>
    <x:row r="14" ht="32" customHeight="1">
      <x:c r="A14" s="7" t="str">
        <x:v>Visitor services seasonal loaded cost</x:v>
      </x:c>
      <x:c r="B14" s="51" t="n">
        <x:v>85000</x:v>
      </x:c>
      <x:c r="C14" s="7" t="str">
        <x:v>$/FTE</x:v>
      </x:c>
      <x:c r="D14" s="12" t="str">
        <x:v>Planning allowance.</x:v>
      </x:c>
    </x:row>
    <x:row r="15" ht="32" customHeight="1">
      <x:c r="A15" s="8" t="str">
        <x:v>Planning / asset specialist loaded cost</x:v>
      </x:c>
      <x:c r="B15" s="50" t="n">
        <x:v>180000</x:v>
      </x:c>
      <x:c r="C15" s="8" t="str">
        <x:v>$/FTE</x:v>
      </x:c>
      <x:c r="D15" s="11" t="str">
        <x:v>Planning allowance.</x:v>
      </x:c>
    </x:row>
    <x:row r="16" ht="32" customHeight="1">
      <x:c r="A16" s="7" t="str">
        <x:v>Capital delivery loaded cost</x:v>
      </x:c>
      <x:c r="B16" s="51" t="n">
        <x:v>190000</x:v>
      </x:c>
      <x:c r="C16" s="7" t="str">
        <x:v>$/FTE</x:v>
      </x:c>
      <x:c r="D16" s="12" t="str">
        <x:v>Within capital delivery provision, not added twice.</x:v>
      </x:c>
    </x:row>
    <x:row r="17" ht="32" customHeight="1">
      <x:c r="A17" s="8" t="str">
        <x:v>Restroom service days</x:v>
      </x:c>
      <x:c r="B17" s="50" t="n">
        <x:v>330</x:v>
      </x:c>
      <x:c r="C17" s="8" t="str">
        <x:v>days/year</x:v>
      </x:c>
      <x:c r="D17" s="11" t="str">
        <x:v>Target average; site closures and seasonal winterization require confirmation.</x:v>
      </x:c>
    </x:row>
    <x:row r="18" ht="32" customHeight="1">
      <x:c r="A18" s="7" t="str">
        <x:v>Restroom cleans / service day</x:v>
      </x:c>
      <x:c r="B18" s="51" t="n">
        <x:v>1.5</x:v>
      </x:c>
      <x:c r="C18" s="7" t="str">
        <x:v>visits/day</x:v>
      </x:c>
      <x:c r="D18" s="12" t="str">
        <x:v>Target mix of daily routes and additional high-use cleaning.</x:v>
      </x:c>
    </x:row>
    <x:row r="19" ht="32" customHeight="1">
      <x:c r="A19" s="8" t="str">
        <x:v>Restroom person-hours / clean</x:v>
      </x:c>
      <x:c r="B19" s="50" t="n">
        <x:v>0.65</x:v>
      </x:c>
      <x:c r="C19" s="8" t="str">
        <x:v>hours</x:v>
      </x:c>
      <x:c r="D19" s="11" t="str">
        <x:v>Estimate per building; confirm unit definition, toilets, opening/closing tasks.</x:v>
      </x:c>
    </x:row>
    <x:row r="20" ht="32" customHeight="1">
      <x:c r="A20" s="7" t="str">
        <x:v>Turf mowing cycles</x:v>
      </x:c>
      <x:c r="B20" s="51" t="n">
        <x:v>30</x:v>
      </x:c>
      <x:c r="C20" s="7" t="str">
        <x:v>cycles/year</x:v>
      </x:c>
      <x:c r="D20" s="12" t="str">
        <x:v>Assumption, adjusted by weather and turf use.</x:v>
      </x:c>
    </x:row>
    <x:row r="21" ht="32" customHeight="1">
      <x:c r="A21" s="8" t="str">
        <x:v>Mowing person-hours / acre-cycle</x:v>
      </x:c>
      <x:c r="B21" s="50" t="n">
        <x:v>0.5</x:v>
      </x:c>
      <x:c r="C21" s="8" t="str">
        <x:v>hours</x:v>
      </x:c>
      <x:c r="D21" s="11" t="str">
        <x:v>Assumption including edging; travel allowed in productive-hour denominator.</x:v>
      </x:c>
    </x:row>
    <x:row r="22" ht="32" customHeight="1">
      <x:c r="A22" s="7" t="str">
        <x:v>Turf renovation person-hours / acre-year</x:v>
      </x:c>
      <x:c r="B22" s="51" t="n">
        <x:v>8</x:v>
      </x:c>
      <x:c r="C22" s="7" t="str">
        <x:v>hours</x:v>
      </x:c>
      <x:c r="D22" s="12" t="str">
        <x:v>Aeration, overseeding and spot repair; no major reconstruction.</x:v>
      </x:c>
    </x:row>
    <x:row r="23" ht="32" customHeight="1">
      <x:c r="A23" s="8" t="str">
        <x:v>Planting-bed care person-hours / acre-year</x:v>
      </x:c>
      <x:c r="B23" s="50" t="n">
        <x:v>120</x:v>
      </x:c>
      <x:c r="C23" s="8" t="str">
        <x:v>hours</x:v>
      </x:c>
      <x:c r="D23" s="11" t="str">
        <x:v>Assumption; specialty gardens need separate measured schedules.</x:v>
      </x:c>
    </x:row>
    <x:row r="24" ht="32" customHeight="1">
      <x:c r="A24" s="7" t="str">
        <x:v>Sports-field preparations</x:v>
      </x:c>
      <x:c r="B24" s="51" t="n">
        <x:v>35</x:v>
      </x:c>
      <x:c r="C24" s="7" t="str">
        <x:v>visits/year</x:v>
      </x:c>
      <x:c r="D24" s="12" t="str">
        <x:v>Preparation beyond mowing; mapped field records may overlap physical surfaces.</x:v>
      </x:c>
    </x:row>
    <x:row r="25" ht="32" customHeight="1">
      <x:c r="A25" s="8" t="str">
        <x:v>Sports-field person-hours / preparation</x:v>
      </x:c>
      <x:c r="B25" s="50" t="n">
        <x:v>3</x:v>
      </x:c>
      <x:c r="C25" s="8" t="str">
        <x:v>hours</x:v>
      </x:c>
      <x:c r="D25" s="11" t="str">
        <x:v>Crew-hours expressed as person-hours.</x:v>
      </x:c>
    </x:row>
    <x:row r="26" ht="32" customHeight="1">
      <x:c r="A26" s="7" t="str">
        <x:v>Court care cycles</x:v>
      </x:c>
      <x:c r="B26" s="51" t="n">
        <x:v>12</x:v>
      </x:c>
      <x:c r="C26" s="7" t="str">
        <x:v>visits/year</x:v>
      </x:c>
      <x:c r="D26" s="12" t="str">
        <x:v>Sweeping and cleaning; resurfacing is capital.</x:v>
      </x:c>
    </x:row>
    <x:row r="27" ht="32" customHeight="1">
      <x:c r="A27" s="8" t="str">
        <x:v>Court person-hours / cycle</x:v>
      </x:c>
      <x:c r="B27" s="50" t="n">
        <x:v>1.5</x:v>
      </x:c>
      <x:c r="C27" s="8" t="str">
        <x:v>hours</x:v>
      </x:c>
      <x:c r="D27" s="11" t="str">
        <x:v>Planning assumption.</x:v>
      </x:c>
    </x:row>
    <x:row r="28" ht="32" customHeight="1">
      <x:c r="A28" s="7" t="str">
        <x:v>Playground inspection cycles</x:v>
      </x:c>
      <x:c r="B28" s="51" t="n">
        <x:v>52</x:v>
      </x:c>
      <x:c r="C28" s="7" t="str">
        <x:v>visits/year</x:v>
      </x:c>
      <x:c r="D28" s="12" t="str">
        <x:v>Weekly detailed check plus visual checks on routine routes.</x:v>
      </x:c>
    </x:row>
    <x:row r="29" ht="32" customHeight="1">
      <x:c r="A29" s="8" t="str">
        <x:v>Playground person-hours / inspection</x:v>
      </x:c>
      <x:c r="B29" s="50" t="n">
        <x:v>0.75</x:v>
      </x:c>
      <x:c r="C29" s="8" t="str">
        <x:v>hours</x:v>
      </x:c>
      <x:c r="D29" s="11" t="str">
        <x:v>Planning assumption; equipment repairs modeled separately.</x:v>
      </x:c>
    </x:row>
    <x:row r="30" ht="32" customHeight="1">
      <x:c r="A30" s="7" t="str">
        <x:v>Water-feature service days</x:v>
      </x:c>
      <x:c r="B30" s="51" t="n">
        <x:v>120</x:v>
      </x:c>
      <x:c r="C30" s="7" t="str">
        <x:v>days/year</x:v>
      </x:c>
      <x:c r="D30" s="12" t="str">
        <x:v>Seasonal daily operational checks; plumbing repairs in trades.</x:v>
      </x:c>
    </x:row>
    <x:row r="31" ht="32" customHeight="1">
      <x:c r="A31" s="8" t="str">
        <x:v>Water-feature person-hours / day</x:v>
      </x:c>
      <x:c r="B31" s="50" t="n">
        <x:v>0.4</x:v>
      </x:c>
      <x:c r="C31" s="8" t="str">
        <x:v>hours</x:v>
      </x:c>
      <x:c r="D31" s="11" t="str">
        <x:v>Planning assumption.</x:v>
      </x:c>
    </x:row>
    <x:row r="32" ht="32" customHeight="1">
      <x:c r="A32" s="7" t="str">
        <x:v>Grounds hours supplied by career workforce</x:v>
      </x:c>
      <x:c r="B32" s="51" t="n">
        <x:v>0.8</x:v>
      </x:c>
      <x:c r="C32" s="7" t="str">
        <x:v>share</x:v>
      </x:c>
      <x:c r="D32" s="12" t="str">
        <x:v>Seasonal share is remainder; scheduling and labor agreements require validation.</x:v>
      </x:c>
    </x:row>
    <x:row r="33" ht="32" customHeight="1">
      <x:c r="A33" s="8" t="str">
        <x:v>Ecology hours supplied by career workforce</x:v>
      </x:c>
      <x:c r="B33" s="50" t="n">
        <x:v>0.85</x:v>
      </x:c>
      <x:c r="C33" s="8" t="str">
        <x:v>share</x:v>
      </x:c>
      <x:c r="D33" s="11" t="str">
        <x:v>Seasonal share is remainder.</x:v>
      </x:c>
    </x:row>
    <x:row r="34" ht="32" customHeight="1">
      <x:c r="A34" s="7" t="str">
        <x:v>Grounds field supervisors</x:v>
      </x:c>
      <x:c r="B34" s="51" t="n">
        <x:v>16</x:v>
      </x:c>
      <x:c r="C34" s="7" t="str">
        <x:v>career FTE</x:v>
      </x:c>
      <x:c r="D34" s="12" t="str">
        <x:v>Illustrative supervisory deployment; working leads remain in task hours.</x:v>
      </x:c>
    </x:row>
    <x:row r="35" ht="32" customHeight="1">
      <x:c r="A35" s="8" t="str">
        <x:v>Trades field supervisors</x:v>
      </x:c>
      <x:c r="B35" s="50" t="n">
        <x:v>8</x:v>
      </x:c>
      <x:c r="C35" s="8" t="str">
        <x:v>career FTE</x:v>
      </x:c>
      <x:c r="D35" s="11" t="str">
        <x:v>Illustrative.</x:v>
      </x:c>
    </x:row>
    <x:row r="36" ht="32" customHeight="1">
      <x:c r="A36" s="7" t="str">
        <x:v>Ecology field supervisors</x:v>
      </x:c>
      <x:c r="B36" s="51" t="n">
        <x:v>6</x:v>
      </x:c>
      <x:c r="C36" s="7" t="str">
        <x:v>career FTE</x:v>
      </x:c>
      <x:c r="D36" s="12" t="str">
        <x:v>Illustrative.</x:v>
      </x:c>
    </x:row>
    <x:row r="37" ht="32" customHeight="1">
      <x:c r="A37" s="8" t="str">
        <x:v>Visitor career staff</x:v>
      </x:c>
      <x:c r="B37" s="50" t="n">
        <x:v>58</x:v>
      </x:c>
      <x:c r="C37" s="8" t="str">
        <x:v>career FTE</x:v>
      </x:c>
      <x:c r="D37" s="11" t="str">
        <x:v>42 rangers + 16 reservations, inclusion and supervision.</x:v>
      </x:c>
    </x:row>
    <x:row r="38" ht="32" customHeight="1">
      <x:c r="A38" s="7" t="str">
        <x:v>Visitor annualized seasonal staff</x:v>
      </x:c>
      <x:c r="B38" s="51" t="n">
        <x:v>12</x:v>
      </x:c>
      <x:c r="C38" s="7" t="str">
        <x:v>annualized FTE</x:v>
      </x:c>
      <x:c r="D38" s="12" t="str">
        <x:v>Peak coverage; additive to career staffing.</x:v>
      </x:c>
    </x:row>
    <x:row r="39" ht="32" customHeight="1">
      <x:c r="A39" s="8" t="str">
        <x:v>Planning / asset / dispatch specialists</x:v>
      </x:c>
      <x:c r="B39" s="50" t="n">
        <x:v>24</x:v>
      </x:c>
      <x:c r="C39" s="8" t="str">
        <x:v>career FTE</x:v>
      </x:c>
      <x:c r="D39" s="11" t="str">
        <x:v>8 asset/GIS, 6 work planning, 6 service/lifecycle planning, 4 performance/access.</x:v>
      </x:c>
    </x:row>
    <x:row r="40" ht="32" customHeight="1">
      <x:c r="A40" s="7" t="str">
        <x:v>Capital delivery staff</x:v>
      </x:c>
      <x:c r="B40" s="51" t="n">
        <x:v>32</x:v>
      </x:c>
      <x:c r="C40" s="7" t="str">
        <x:v>career FTE</x:v>
      </x:c>
      <x:c r="D40" s="12" t="str">
        <x:v>Suggested 20 PM, 6 engineering/inspection, 4 estimating/procurement, 2 leadership.</x:v>
      </x:c>
    </x:row>
    <x:row r="41" ht="32" customHeight="1">
      <x:c r="A41" s="8" t="str">
        <x:v>Grounds additional materials / services</x:v>
      </x:c>
      <x:c r="B41" s="50" t="n">
        <x:v>500000</x:v>
      </x:c>
      <x:c r="C41" s="8" t="str">
        <x:v>$/year</x:v>
      </x:c>
      <x:c r="D41" s="11" t="str">
        <x:v>Beyond retained FY27 nonpersonnel envelope.</x:v>
      </x:c>
    </x:row>
    <x:row r="42" ht="32" customHeight="1">
      <x:c r="A42" s="7" t="str">
        <x:v>Ecology additional materials / services</x:v>
      </x:c>
      <x:c r="B42" s="51" t="n">
        <x:v>1000000</x:v>
      </x:c>
      <x:c r="C42" s="7" t="str">
        <x:v>$/year</x:v>
      </x:c>
      <x:c r="D42" s="12" t="str">
        <x:v>Beyond retained envelope; ecological surveys and contract specialist work.</x:v>
      </x:c>
    </x:row>
    <x:row r="43" ht="32" customHeight="1">
      <x:c r="A43" s="8" t="str">
        <x:v>Planning additional studies / field data</x:v>
      </x:c>
      <x:c r="B43" s="50" t="n">
        <x:v>500000</x:v>
      </x:c>
      <x:c r="C43" s="8" t="str">
        <x:v>$/year</x:v>
      </x:c>
      <x:c r="D43" s="11" t="str">
        <x:v>Beyond retained envelope.</x:v>
      </x:c>
    </x:row>
    <x:row r="44" ht="32" customHeight="1">
      <x:c r="A44" s="7" t="str">
        <x:v>Official natural acreage</x:v>
      </x:c>
      <x:c r="B44" s="51" t="n">
        <x:v>7895</x:v>
      </x:c>
      <x:c r="C44" s="7" t="str">
        <x:v>acres</x:v>
      </x:c>
      <x:c r="D44" s="12" t="str">
        <x:v>PP&amp;R system by numbers, updated May 6, 2026.</x:v>
      </x:c>
    </x:row>
    <x:row r="45" ht="32" customHeight="1">
      <x:c r="A45" s="8" t="str">
        <x:v>Official trail mileage</x:v>
      </x:c>
      <x:c r="B45" s="50" t="n">
        <x:v>158</x:v>
      </x:c>
      <x:c r="C45" s="8" t="str">
        <x:v>miles</x:v>
      </x:c>
      <x:c r="D45" s="11" t="str">
        <x:v>PP&amp;R system by numbers, updated May 6, 2026.</x:v>
      </x:c>
    </x:row>
    <x:row r="46" ht="32" customHeight="1">
      <x:c r="A46" s="7" t="str">
        <x:v>Official playground inventory</x:v>
      </x:c>
      <x:c r="B46" s="51" t="n">
        <x:v>139</x:v>
      </x:c>
      <x:c r="C46" s="7" t="str">
        <x:v>playgrounds</x:v>
      </x:c>
      <x:c r="D46" s="12" t="str">
        <x:v>PP&amp;R system by numbers; Atlas counts places with documented play, a different scope.</x:v>
      </x:c>
    </x:row>
    <x:row r="47" ht="32" customHeight="1">
      <x:c r="A47" s="8" t="str">
        <x:v>Approximate buildings inventory</x:v>
      </x:c>
      <x:c r="B47" s="50" t="n">
        <x:v>500</x:v>
      </x:c>
      <x:c r="C47" s="8" t="str">
        <x:v>buildings</x:v>
      </x:c>
      <x:c r="D47" s="11" t="str">
        <x:v>2024 Citywide Assets Report, p.20; includes small structures.</x:v>
      </x:c>
    </x:row>
    <x:row r="48" ht="32" customHeight="1">
      <x:c r="A48" s="7" t="str">
        <x:v>Pool inventory</x:v>
      </x:c>
      <x:c r="B48" s="51" t="n">
        <x:v>11</x:v>
      </x:c>
      <x:c r="C48" s="7" t="str">
        <x:v>pools</x:v>
      </x:c>
      <x:c r="D48" s="12" t="str">
        <x:v>PP&amp;R official inventory; availability differs by date.</x:v>
      </x:c>
    </x:row>
    <x:row r="49" ht="32" customHeight="1">
      <x:c r="A49" s="8" t="str">
        <x:v>Underground infrastructure</x:v>
      </x:c>
      <x:c r="B49" s="50" t="n">
        <x:v>650</x:v>
      </x:c>
      <x:c r="C49" s="8" t="str">
        <x:v>miles</x:v>
      </x:c>
      <x:c r="D49" s="11" t="str">
        <x:v>2024 Citywide Assets Report, p.20; reported as over 650.</x:v>
      </x:c>
    </x:row>
    <x:row r="50" ht="32" customHeight="1">
      <x:c r="A50" s="7" t="str">
        <x:v>Invasive-treatment workload assumption</x:v>
      </x:c>
      <x:c r="B50" s="51" t="n">
        <x:v>1500</x:v>
      </x:c>
      <x:c r="C50" s="7" t="str">
        <x:v>acres/year</x:v>
      </x:c>
      <x:c r="D50" s="12" t="str">
        <x:v>Unvalidated 1,500-acre workload assumption, not an improvement target. FY26 reported 2,319 chemical-treatment acres including repeats; units and person-hours must be reconciled.</x:v>
      </x:c>
    </x:row>
    <x:row r="51" ht="32" customHeight="1">
      <x:c r="A51" s="8" t="str">
        <x:v>Invasive treatment person-hours / acre</x:v>
      </x:c>
      <x:c r="B51" s="50" t="n">
        <x:v>30</x:v>
      </x:c>
      <x:c r="C51" s="8" t="str">
        <x:v>hours</x:v>
      </x:c>
      <x:c r="D51" s="11" t="str">
        <x:v>Planning allowance; varies substantially by terrain and plant.</x:v>
      </x:c>
    </x:row>
    <x:row r="52" ht="32" customHeight="1">
      <x:c r="A52" s="7" t="str">
        <x:v>Natural-area risk inspection person-hours / acre</x:v>
      </x:c>
      <x:c r="B52" s="51" t="n">
        <x:v>0.5</x:v>
      </x:c>
      <x:c r="C52" s="7" t="str">
        <x:v>hours/year</x:v>
      </x:c>
      <x:c r="D52" s="12" t="str">
        <x:v>Planning allowance; is not a full ecological survey of each acre.</x:v>
      </x:c>
    </x:row>
    <x:row r="53" ht="32" customHeight="1">
      <x:c r="A53" s="8" t="str">
        <x:v>Trail person-hours / mile-year</x:v>
      </x:c>
      <x:c r="B53" s="50" t="n">
        <x:v>70</x:v>
      </x:c>
      <x:c r="C53" s="8" t="str">
        <x:v>hours</x:v>
      </x:c>
      <x:c r="D53" s="11" t="str">
        <x:v>Planning allowance for routine trail care.</x:v>
      </x:c>
    </x:row>
    <x:row r="54" ht="32" customHeight="1">
      <x:c r="A54" s="7" t="str">
        <x:v>Habitat restoration acreage</x:v>
      </x:c>
      <x:c r="B54" s="51" t="n">
        <x:v>400</x:v>
      </x:c>
      <x:c r="C54" s="7" t="str">
        <x:v>acres/year</x:v>
      </x:c>
      <x:c r="D54" s="12" t="str">
        <x:v>Proposed additional habitat work, distinct from invasive treatment.</x:v>
      </x:c>
    </x:row>
    <x:row r="55" ht="32" customHeight="1">
      <x:c r="A55" s="8" t="str">
        <x:v>Habitat person-hours / acre</x:v>
      </x:c>
      <x:c r="B55" s="50" t="n">
        <x:v>30</x:v>
      </x:c>
      <x:c r="C55" s="8" t="str">
        <x:v>hours</x:v>
      </x:c>
      <x:c r="D55" s="11" t="str">
        <x:v>Planning allowance.</x:v>
      </x:c>
    </x:row>
    <x:row r="56" ht="32" customHeight="1">
      <x:c r="A56" s="7" t="str">
        <x:v>Wildfire / boundary treatment acreage</x:v>
      </x:c>
      <x:c r="B56" s="51" t="n">
        <x:v>600</x:v>
      </x:c>
      <x:c r="C56" s="7" t="str">
        <x:v>acres/year</x:v>
      </x:c>
      <x:c r="D56" s="12" t="str">
        <x:v>Proposed targeted footprint.</x:v>
      </x:c>
    </x:row>
    <x:row r="57" ht="32" customHeight="1">
      <x:c r="A57" s="8" t="str">
        <x:v>Wildfire person-hours / acre</x:v>
      </x:c>
      <x:c r="B57" s="50" t="n">
        <x:v>12</x:v>
      </x:c>
      <x:c r="C57" s="8" t="str">
        <x:v>hours</x:v>
      </x:c>
      <x:c r="D57" s="11" t="str">
        <x:v>Planning allowance.</x:v>
      </x:c>
    </x:row>
    <x:row r="58" ht="32" customHeight="1">
      <x:c r="A58" s="7" t="str">
        <x:v>Natural stewardship coordination hours</x:v>
      </x:c>
      <x:c r="B58" s="51" t="n">
        <x:v>7500</x:v>
      </x:c>
      <x:c r="C58" s="7" t="str">
        <x:v>hours/year</x:v>
      </x:c>
      <x:c r="D58" s="12" t="str">
        <x:v>Training, events and volunteer supervision; no volunteer labor savings assumed.</x:v>
      </x:c>
    </x:row>
    <x:row r="59" ht="32" customHeight="1">
      <x:c r="A59" s="8" t="str">
        <x:v>One-time transition provision</x:v>
      </x:c>
      <x:c r="B59" s="50" t="n">
        <x:v>3000000</x:v>
      </x:c>
      <x:c r="C59" s="8" t="str">
        <x:v>dollars</x:v>
      </x:c>
      <x:c r="D59" s="11" t="str">
        <x:v>18–24 months, provisional; setup, field verification, training and equipment.</x:v>
      </x:c>
    </x:row>
    <x:row r="64" ht="38" customHeight="1">
      <x:c r="A64" s="14" t="str">
        <x:v>Property classification</x:v>
      </x:c>
      <x:c r="B64" s="14" t="str">
        <x:v>Visits / year</x:v>
      </x:c>
      <x:c r="C64" s="14" t="str">
        <x:v>Hours / visit</x:v>
      </x:c>
      <x:c r="D64" s="14" t="str">
        <x:v>Turf share of acres</x:v>
      </x:c>
      <x:c r="E64" s="14" t="str">
        <x:v>Bed share of acres</x:v>
      </x:c>
      <x:c r="F64" s="14" t="str">
        <x:v>Natural share of acres</x:v>
      </x:c>
    </x:row>
    <x:row r="65">
      <x:c r="A65" t="str">
        <x:v>developed-park</x:v>
      </x:c>
      <x:c r="B65" s="16" t="n">
        <x:v>365</x:v>
      </x:c>
      <x:c r="C65" s="16" t="n">
        <x:v>1.5</x:v>
      </x:c>
      <x:c r="D65" s="17" t="n">
        <x:v>0.55</x:v>
      </x:c>
      <x:c r="E65" s="17" t="n">
        <x:v>0.05</x:v>
      </x:c>
      <x:c r="F65" s="17" t="n">
        <x:v>0.25</x:v>
      </x:c>
    </x:row>
    <x:row r="66">
      <x:c r="A66" t="str">
        <x:v>natural-area</x:v>
      </x:c>
      <x:c r="B66" s="16" t="n">
        <x:v>104</x:v>
      </x:c>
      <x:c r="C66" s="16" t="n">
        <x:v>0.75</x:v>
      </x:c>
      <x:c r="D66" s="17" t="n">
        <x:v>0.005</x:v>
      </x:c>
      <x:c r="E66" s="17" t="n">
        <x:v>0</x:v>
      </x:c>
      <x:c r="F66" s="17" t="n">
        <x:v>0.99</x:v>
      </x:c>
    </x:row>
    <x:row r="67">
      <x:c r="A67" t="str">
        <x:v>community-garden</x:v>
      </x:c>
      <x:c r="B67" s="16" t="n">
        <x:v>52</x:v>
      </x:c>
      <x:c r="C67" s="16" t="n">
        <x:v>1</x:v>
      </x:c>
      <x:c r="D67" s="17" t="n">
        <x:v>0.05</x:v>
      </x:c>
      <x:c r="E67" s="17" t="n">
        <x:v>0.1</x:v>
      </x:c>
      <x:c r="F67" s="17" t="n">
        <x:v>0</x:v>
      </x:c>
    </x:row>
    <x:row r="68">
      <x:c r="A68" t="str">
        <x:v>plaza-memorial</x:v>
      </x:c>
      <x:c r="B68" s="16" t="n">
        <x:v>365</x:v>
      </x:c>
      <x:c r="C68" s="16" t="n">
        <x:v>2</x:v>
      </x:c>
      <x:c r="D68" s="17" t="n">
        <x:v>0</x:v>
      </x:c>
      <x:c r="E68" s="17" t="n">
        <x:v>0.1</x:v>
      </x:c>
      <x:c r="F68" s="17" t="n">
        <x:v>0</x:v>
      </x:c>
    </x:row>
    <x:row r="69">
      <x:c r="A69" t="str">
        <x:v>facility-site</x:v>
      </x:c>
      <x:c r="B69" s="16" t="n">
        <x:v>260</x:v>
      </x:c>
      <x:c r="C69" s="16" t="n">
        <x:v>1</x:v>
      </x:c>
      <x:c r="D69" s="17" t="n">
        <x:v>0.1</x:v>
      </x:c>
      <x:c r="E69" s="17" t="n">
        <x:v>0.1</x:v>
      </x:c>
      <x:c r="F69" s="17" t="n">
        <x:v>0</x:v>
      </x:c>
    </x:row>
    <x:row r="70">
      <x:c r="A70" t="str">
        <x:v>corridor</x:v>
      </x:c>
      <x:c r="B70" s="16" t="n">
        <x:v>104</x:v>
      </x:c>
      <x:c r="C70" s="16" t="n">
        <x:v>1</x:v>
      </x:c>
      <x:c r="D70" s="17" t="n">
        <x:v>0.03</x:v>
      </x:c>
      <x:c r="E70" s="17" t="n">
        <x:v>0.01</x:v>
      </x:c>
      <x:c r="F70" s="17" t="n">
        <x:v>0.85</x:v>
      </x:c>
    </x:row>
    <x:row r="71">
      <x:c r="A71" t="str">
        <x:v>garden</x:v>
      </x:c>
      <x:c r="B71" s="16" t="n">
        <x:v>365</x:v>
      </x:c>
      <x:c r="C71" s="16" t="n">
        <x:v>1.5</x:v>
      </x:c>
      <x:c r="D71" s="17" t="n">
        <x:v>0.25</x:v>
      </x:c>
      <x:c r="E71" s="17" t="n">
        <x:v>0.4</x:v>
      </x:c>
      <x:c r="F71" s="17" t="n">
        <x:v>0.25</x:v>
      </x:c>
    </x:row>
    <x:row r="72">
      <x:c r="A72" t="str">
        <x:v>golf-raceway</x:v>
      </x:c>
      <x:c r="B72" s="16" t="n">
        <x:v>0</x:v>
      </x:c>
      <x:c r="C72" s="16" t="n">
        <x:v>0</x:v>
      </x:c>
      <x:c r="D72" s="17" t="n">
        <x:v>0</x:v>
      </x:c>
      <x:c r="E72" s="17" t="n">
        <x:v>0</x:v>
      </x:c>
      <x:c r="F72" s="17" t="n">
        <x:v>0</x:v>
      </x:c>
    </x:row>
    <x:row r="73">
      <x:c r="A73" t="str">
        <x:v>maintenance-yard</x:v>
      </x:c>
      <x:c r="B73" s="16" t="n">
        <x:v>260</x:v>
      </x:c>
      <x:c r="C73" s="16" t="n">
        <x:v>0.5</x:v>
      </x:c>
      <x:c r="D73" s="17" t="n">
        <x:v>0.05</x:v>
      </x:c>
      <x:c r="E73" s="17" t="n">
        <x:v>0.01</x:v>
      </x:c>
      <x:c r="F73" s="17" t="n">
        <x:v>0</x:v>
      </x:c>
    </x:row>
    <x:row r="74">
      <x:c r="A74" t="str">
        <x:v>uncertain</x:v>
      </x:c>
      <x:c r="B74" s="16" t="n">
        <x:v>104</x:v>
      </x:c>
      <x:c r="C74" s="16" t="n">
        <x:v>0.5</x:v>
      </x:c>
      <x:c r="D74" s="17" t="n">
        <x:v>0.1</x:v>
      </x:c>
      <x:c r="E74" s="17" t="n">
        <x:v>0.02</x:v>
      </x:c>
      <x:c r="F74" s="17" t="n">
        <x:v>0.5</x:v>
      </x:c>
    </x:row>
    <x:row r="77">
      <x:c r="A77" t="str">
        <x:v>Land-cover fractions are placeholders, not measured turf maps. Golf/PIR costs remain in retained programs.</x:v>
      </x:c>
    </x:row>
  </x:sheetData>
  <x:mergeCells>
    <x:mergeCell ref="A2:D2"/>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2" hidden="0" customWidth="1"/>
    <x:col min="2" max="2" width="39" hidden="0" customWidth="1"/>
    <x:col min="3" max="3" width="23" hidden="0" customWidth="1"/>
    <x:col min="4" max="4" width="16" hidden="0" customWidth="1"/>
    <x:col min="5" max="5" width="14" hidden="0" customWidth="1"/>
    <x:col min="6" max="6" width="12" hidden="0" customWidth="1"/>
    <x:col min="7" max="7" width="15" hidden="0" customWidth="1"/>
    <x:col min="8" max="8" width="15" hidden="0" customWidth="1"/>
    <x:col min="9" max="9" width="14" hidden="0" customWidth="1"/>
    <x:col min="10" max="10" width="14" hidden="0" customWidth="1"/>
    <x:col min="11" max="11" width="12" hidden="0" customWidth="1"/>
    <x:col min="12" max="12" width="18" hidden="0" customWidth="1"/>
    <x:col min="13" max="13" width="18" hidden="0" customWidth="1"/>
    <x:col min="14" max="14" width="18" hidden="0" customWidth="1"/>
    <x:col min="15" max="15" width="19" hidden="0" customWidth="1"/>
    <x:col min="16" max="16" width="19" hidden="0" customWidth="1"/>
    <x:col min="17" max="17" width="19" hidden="0" customWidth="1"/>
    <x:col min="18" max="18" width="21" hidden="0" customWidth="1"/>
    <x:col min="19" max="19" width="14" hidden="0" customWidth="1"/>
    <x:col min="20" max="20" width="19" hidden="0" customWidth="1"/>
    <x:col min="21" max="21" width="14" hidden="0" customWidth="1"/>
    <x:col min="22" max="22" width="14" hidden="0" customWidth="1"/>
    <x:col min="23" max="23" width="75" hidden="0" customWidth="1"/>
  </x:cols>
  <x:sheetData>
    <x:row r="1" ht="32" customHeight="1">
      <x:c r="A1" s="1" t="str">
        <x:v>Park model</x:v>
      </x:c>
    </x:row>
    <x:row r="2" ht="42" customHeight="1">
      <x:c r="A2" s="3" t="str">
        <x:v>316 Atlas properties. Modeled direct field labor only: excludes trades, supplies, utilities, recreation, citywide trees, capital and central support. Acreage fractions require field validation.</x:v>
      </x:c>
      <x:c r="B2" s="3"/>
      <x:c r="C2" s="3"/>
      <x:c r="D2" s="3"/>
      <x:c r="E2" s="3"/>
      <x:c r="F2" s="3"/>
      <x:c r="G2" s="3"/>
      <x:c r="H2" s="3"/>
      <x:c r="I2" s="3"/>
      <x:c r="J2" s="3"/>
      <x:c r="K2" s="3"/>
      <x:c r="L2" s="3"/>
      <x:c r="M2" s="3"/>
      <x:c r="N2" s="3"/>
      <x:c r="O2" s="3"/>
      <x:c r="P2" s="3"/>
      <x:c r="Q2" s="3"/>
      <x:c r="R2" s="3"/>
      <x:c r="S2" s="3"/>
      <x:c r="T2" s="3"/>
      <x:c r="U2" s="3"/>
      <x:c r="V2" s="3"/>
      <x:c r="W2" s="3"/>
    </x:row>
    <x:row r="4" ht="34" customHeight="1">
      <x:c r="A4" s="6" t="str">
        <x:v>ID</x:v>
      </x:c>
      <x:c r="B4" s="6" t="str">
        <x:v>Property</x:v>
      </x:c>
      <x:c r="C4" s="6" t="str">
        <x:v>Atlas class</x:v>
      </x:c>
      <x:c r="D4" s="6" t="str">
        <x:v>District</x:v>
      </x:c>
      <x:c r="E4" s="6" t="str">
        <x:v>GIS acres</x:v>
      </x:c>
      <x:c r="F4" s="6" t="str">
        <x:v>Core scope</x:v>
      </x:c>
      <x:c r="G4" s="6" t="str">
        <x:v>Restroom buildings</x:v>
      </x:c>
      <x:c r="H4" s="6" t="str">
        <x:v>Playground sites</x:v>
      </x:c>
      <x:c r="I4" s="6" t="str">
        <x:v>Field records</x:v>
      </x:c>
      <x:c r="J4" s="6" t="str">
        <x:v>Court records</x:v>
      </x:c>
      <x:c r="K4" s="6" t="str">
        <x:v>Water sites</x:v>
      </x:c>
      <x:c r="L4" s="6" t="str">
        <x:v>Routine visit hours</x:v>
      </x:c>
      <x:c r="M4" s="6" t="str">
        <x:v>Estimated turf acres</x:v>
      </x:c>
      <x:c r="N4" s="6" t="str">
        <x:v>Estimated bed acres</x:v>
      </x:c>
      <x:c r="O4" s="6" t="str">
        <x:v>Estimated natural acres</x:v>
      </x:c>
      <x:c r="P4" s="6" t="str">
        <x:v>Grounds task hours</x:v>
      </x:c>
      <x:c r="Q4" s="6" t="str">
        <x:v>Natural share hours</x:v>
      </x:c>
      <x:c r="R4" s="6" t="str">
        <x:v>Direct field labor $</x:v>
      </x:c>
      <x:c r="S4" s="6" t="str">
        <x:v>Rated records</x:v>
      </x:c>
      <x:c r="T4" s="6" t="str">
        <x:v>Poor / very bad share</x:v>
      </x:c>
      <x:c r="U4" s="6" t="str">
        <x:v>Repair flags</x:v>
      </x:c>
      <x:c r="V4" s="6" t="str">
        <x:v>Partners linked</x:v>
      </x:c>
      <x:c r="W4" s="6" t="str">
        <x:v>Source / property page</x:v>
      </x:c>
    </x:row>
    <x:row r="5" ht="23" customHeight="1">
      <x:c r="A5" s="8" t="str">
        <x:v>31</x:v>
      </x:c>
      <x:c r="B5" s="8" t="str">
        <x:v>'Scht Wiwnu Park</x:v>
      </x:c>
      <x:c r="C5" s="8" t="str">
        <x:v>developed-park</x:v>
      </x:c>
      <x:c r="D5" s="8" t="str">
        <x:v>District 4</x:v>
      </x:c>
      <x:c r="E5" s="18" t="n">
        <x:v>6.32544288</x:v>
      </x:c>
      <x:c r="F5" s="8" t="n">
        <x:v>1</x:v>
      </x:c>
      <x:c r="G5" s="8" t="n">
        <x:v>1</x:v>
      </x:c>
      <x:c r="H5" s="8" t="n">
        <x:v>1</x:v>
      </x:c>
      <x:c r="I5" s="8" t="n">
        <x:v>2</x:v>
      </x:c>
      <x:c r="J5" s="8" t="n">
        <x:v>0</x:v>
      </x:c>
      <x:c r="K5" s="8" t="n">
        <x:v>0</x:v>
      </x:c>
      <x:c r="L5" s="24" t="n">
        <x:f>F5*'Service inputs'!B65*'Service inputs'!C65</x:f>
        <x:v>547.5</x:v>
      </x:c>
      <x:c r="M5" s="24" t="n">
        <x:f>F5*E5*'Service inputs'!D65</x:f>
        <x:v>3.4789935840000004</x:v>
      </x:c>
      <x:c r="N5" s="24" t="n">
        <x:f>F5*E5*'Service inputs'!E65</x:f>
        <x:v>0.31627214400000003</x:v>
      </x:c>
      <x:c r="O5" s="24" t="n">
        <x:f>F5*E5*'Service inputs'!F65</x:f>
        <x:v>1.58136072</x:v>
      </x:c>
      <x:c r="P5" s="24" t="n">
        <x:f>L5+F5*G5*'Service inputs'!$B$17*'Service inputs'!$B$18*'Service inputs'!$B$19+M5*('Service inputs'!$B$20*'Service inputs'!$B$21+'Service inputs'!$B$22)+N5*'Service inputs'!$B$23+F5*(H5*'Service inputs'!$B$28*'Service inputs'!$B$29+I5*'Service inputs'!$B$24*'Service inputs'!$B$25+J5*'Service inputs'!$B$26*'Service inputs'!$B$27+K5*'Service inputs'!$B$30*'Service inputs'!$B$31)</x:f>
        <x:v>1236.219509712</x:v>
      </x:c>
      <x:c r="Q5" s="24" t="n">
        <x:f>O5/SUM($O$5:$O$320)*SUMIF(Workload!$A$5:$A$40,"Ecology",Workload!$G$5:$G$40)</x:f>
        <x:v>16.60066426820765</x:v>
      </x:c>
      <x:c r="R5" s="25" t="n">
        <x:f>P5/SUMIF(Workload!$A$5:$A$40,"Grounds",Workload!$G$5:$G$40)*Staffing!$J$5+Q5/SUMIF(Workload!$A$5:$A$40,"Ecology",Workload!$G$5:$G$40)*Staffing!$J$7</x:f>
        <x:v>127563.0176115557</x:v>
      </x:c>
      <x:c r="S5" s="8" t="n">
        <x:v>35</x:v>
      </x:c>
      <x:c r="T5" s="22" t="n">
        <x:v>0.14285714285714285</x:v>
      </x:c>
      <x:c r="U5" s="8" t="n">
        <x:v>0</x:v>
      </x:c>
      <x:c r="V5" s="8" t="n">
        <x:v>1</x:v>
      </x:c>
      <x:c r="W5" s="8" t="str">
        <x:v>https://parks.portlandciviclab.org/parks/scht-wiwnu-park-31</x:v>
      </x:c>
    </x:row>
    <x:row r="6" ht="23" customHeight="1">
      <x:c r="A6" s="7" t="str">
        <x:v>48</x:v>
      </x:c>
      <x:c r="B6" s="7" t="str">
        <x:v>Albert Kelly Park</x:v>
      </x:c>
      <x:c r="C6" s="7" t="str">
        <x:v>developed-park</x:v>
      </x:c>
      <x:c r="D6" s="7" t="str">
        <x:v>District 4</x:v>
      </x:c>
      <x:c r="E6" s="19" t="n">
        <x:v>12.0861518</x:v>
      </x:c>
      <x:c r="F6" s="7" t="n">
        <x:v>1</x:v>
      </x:c>
      <x:c r="G6" s="7" t="n">
        <x:v>0</x:v>
      </x:c>
      <x:c r="H6" s="7" t="n">
        <x:v>1</x:v>
      </x:c>
      <x:c r="I6" s="7" t="n">
        <x:v>3</x:v>
      </x:c>
      <x:c r="J6" s="7" t="n">
        <x:v>0</x:v>
      </x:c>
      <x:c r="K6" s="7" t="n">
        <x:v>0</x:v>
      </x:c>
      <x:c r="L6" s="26" t="n">
        <x:f>F6*'Service inputs'!B65*'Service inputs'!C65</x:f>
        <x:v>547.5</x:v>
      </x:c>
      <x:c r="M6" s="26" t="n">
        <x:f>F6*E6*'Service inputs'!D65</x:f>
        <x:v>6.64738349</x:v>
      </x:c>
      <x:c r="N6" s="26" t="n">
        <x:f>F6*E6*'Service inputs'!E65</x:f>
        <x:v>0.60430759</x:v>
      </x:c>
      <x:c r="O6" s="26" t="n">
        <x:f>F6*E6*'Service inputs'!F65</x:f>
        <x:v>3.02153795</x:v>
      </x:c>
      <x:c r="P6" s="26" t="n">
        <x:f>L6+F6*G6*'Service inputs'!$B$17*'Service inputs'!$B$18*'Service inputs'!$B$19+M6*('Service inputs'!$B$20*'Service inputs'!$B$21+'Service inputs'!$B$22)+N6*'Service inputs'!$B$23+F6*(H6*'Service inputs'!$B$28*'Service inputs'!$B$29+I6*'Service inputs'!$B$24*'Service inputs'!$B$25+J6*'Service inputs'!$B$26*'Service inputs'!$B$27+K6*'Service inputs'!$B$30*'Service inputs'!$B$31)</x:f>
        <x:v>1126.90673107</x:v>
      </x:c>
      <x:c r="Q6" s="26" t="n">
        <x:f>O6/SUM($O$5:$O$320)*SUMIF(Workload!$A$5:$A$40,"Ecology",Workload!$G$5:$G$40)</x:f>
        <x:v>31.719225378001298</x:v>
      </x:c>
      <x:c r="R6" s="27" t="n">
        <x:f>P6/SUMIF(Workload!$A$5:$A$40,"Grounds",Workload!$G$5:$G$40)*Staffing!$J$5+Q6/SUMIF(Workload!$A$5:$A$40,"Ecology",Workload!$G$5:$G$40)*Staffing!$J$7</x:f>
        <x:v>118202.8687873432</x:v>
      </x:c>
      <x:c r="S6" s="7" t="n">
        <x:v>25</x:v>
      </x:c>
      <x:c r="T6" s="23" t="n">
        <x:v>0.16</x:v>
      </x:c>
      <x:c r="U6" s="7" t="n">
        <x:v>0</x:v>
      </x:c>
      <x:c r="V6" s="7" t="n">
        <x:v>0</x:v>
      </x:c>
      <x:c r="W6" s="7" t="str">
        <x:v>https://parks.portlandciviclab.org/parks/albert-kelly-park-48</x:v>
      </x:c>
    </x:row>
    <x:row r="7" ht="23" customHeight="1">
      <x:c r="A7" s="8" t="str">
        <x:v>49</x:v>
      </x:c>
      <x:c r="B7" s="8" t="str">
        <x:v>Alberta Park</x:v>
      </x:c>
      <x:c r="C7" s="8" t="str">
        <x:v>developed-park</x:v>
      </x:c>
      <x:c r="D7" s="8" t="str">
        <x:v>District 2</x:v>
      </x:c>
      <x:c r="E7" s="18" t="n">
        <x:v>16.40379728</x:v>
      </x:c>
      <x:c r="F7" s="8" t="n">
        <x:v>1</x:v>
      </x:c>
      <x:c r="G7" s="8" t="n">
        <x:v>3</x:v>
      </x:c>
      <x:c r="H7" s="8" t="n">
        <x:v>1</x:v>
      </x:c>
      <x:c r="I7" s="8" t="n">
        <x:v>3</x:v>
      </x:c>
      <x:c r="J7" s="8" t="n">
        <x:v>3</x:v>
      </x:c>
      <x:c r="K7" s="8" t="n">
        <x:v>0</x:v>
      </x:c>
      <x:c r="L7" s="24" t="n">
        <x:f>F7*'Service inputs'!B65*'Service inputs'!C65</x:f>
        <x:v>547.5</x:v>
      </x:c>
      <x:c r="M7" s="24" t="n">
        <x:f>F7*E7*'Service inputs'!D65</x:f>
        <x:v>9.022088504000001</x:v>
      </x:c>
      <x:c r="N7" s="24" t="n">
        <x:f>F7*E7*'Service inputs'!E65</x:f>
        <x:v>0.820189864</x:v>
      </x:c>
      <x:c r="O7" s="24" t="n">
        <x:f>F7*E7*'Service inputs'!F65</x:f>
        <x:v>4.10094932</x:v>
      </x:c>
      <x:c r="P7" s="24" t="n">
        <x:f>L7+F7*G7*'Service inputs'!$B$17*'Service inputs'!$B$18*'Service inputs'!$B$19+M7*('Service inputs'!$B$20*'Service inputs'!$B$21+'Service inputs'!$B$22)+N7*'Service inputs'!$B$23+F7*(H7*'Service inputs'!$B$28*'Service inputs'!$B$29+I7*'Service inputs'!$B$24*'Service inputs'!$B$25+J7*'Service inputs'!$B$26*'Service inputs'!$B$27+K7*'Service inputs'!$B$30*'Service inputs'!$B$31)</x:f>
        <x:v>2226.680819272</x:v>
      </x:c>
      <x:c r="Q7" s="24" t="n">
        <x:f>O7/SUM($O$5:$O$320)*SUMIF(Workload!$A$5:$A$40,"Ecology",Workload!$G$5:$G$40)</x:f>
        <x:v>43.05057156235326</x:v>
      </x:c>
      <x:c r="R7" s="25" t="n">
        <x:f>P7/SUMIF(Workload!$A$5:$A$40,"Grounds",Workload!$G$5:$G$40)*Staffing!$J$5+Q7/SUMIF(Workload!$A$5:$A$40,"Ecology",Workload!$G$5:$G$40)*Staffing!$J$7</x:f>
        <x:v>231288.5729711678</x:v>
      </x:c>
      <x:c r="S7" s="8" t="n">
        <x:v>119</x:v>
      </x:c>
      <x:c r="T7" s="22" t="n">
        <x:v>0.2773109243697479</x:v>
      </x:c>
      <x:c r="U7" s="8" t="n">
        <x:v>12</x:v>
      </x:c>
      <x:c r="V7" s="8" t="n">
        <x:v>1</x:v>
      </x:c>
      <x:c r="W7" s="8" t="str">
        <x:v>https://parks.portlandciviclab.org/parks/alberta-park-49</x:v>
      </x:c>
    </x:row>
    <x:row r="8" ht="23" customHeight="1">
      <x:c r="A8" s="7" t="str">
        <x:v>1322</x:v>
      </x:c>
      <x:c r="B8" s="7" t="str">
        <x:v>Alder Ridge Natural Area</x:v>
      </x:c>
      <x:c r="C8" s="7" t="str">
        <x:v>natural-area</x:v>
      </x:c>
      <x:c r="D8" s="7" t="str">
        <x:v>District 4</x:v>
      </x:c>
      <x:c r="E8" s="19" t="n">
        <x:v>13.74593349</x:v>
      </x:c>
      <x:c r="F8" s="7" t="n">
        <x:v>1</x:v>
      </x:c>
      <x:c r="G8" s="7" t="n">
        <x:v>0</x:v>
      </x:c>
      <x:c r="H8" s="7" t="n">
        <x:v>0</x:v>
      </x:c>
      <x:c r="I8" s="7" t="n">
        <x:v>0</x:v>
      </x:c>
      <x:c r="J8" s="7" t="n">
        <x:v>0</x:v>
      </x:c>
      <x:c r="K8" s="7" t="n">
        <x:v>0</x:v>
      </x:c>
      <x:c r="L8" s="26" t="n">
        <x:f>F8*'Service inputs'!B66*'Service inputs'!C66</x:f>
        <x:v>78</x:v>
      </x:c>
      <x:c r="M8" s="26" t="n">
        <x:f>F8*E8*'Service inputs'!D66</x:f>
        <x:v>0.06872966745</x:v>
      </x:c>
      <x:c r="N8" s="26" t="n">
        <x:f>F8*E8*'Service inputs'!E66</x:f>
        <x:v>0</x:v>
      </x:c>
      <x:c r="O8" s="26" t="n">
        <x:f>F8*E8*'Service inputs'!F66</x:f>
        <x:v>13.6084741551</x:v>
      </x:c>
      <x:c r="P8" s="26" t="n">
        <x:f>L8+F8*G8*'Service inputs'!$B$17*'Service inputs'!$B$18*'Service inputs'!$B$19+M8*('Service inputs'!$B$20*'Service inputs'!$B$21+'Service inputs'!$B$22)+N8*'Service inputs'!$B$23+F8*(H8*'Service inputs'!$B$28*'Service inputs'!$B$29+I8*'Service inputs'!$B$24*'Service inputs'!$B$25+J8*'Service inputs'!$B$26*'Service inputs'!$B$27+K8*'Service inputs'!$B$30*'Service inputs'!$B$31)</x:f>
        <x:v>79.58078235135</x:v>
      </x:c>
      <x:c r="Q8" s="26" t="n">
        <x:f>O8/SUM($O$5:$O$320)*SUMIF(Workload!$A$5:$A$40,"Ecology",Workload!$G$5:$G$40)</x:f>
        <x:v>142.8577982203807</x:v>
      </x:c>
      <x:c r="R8" s="27" t="n">
        <x:f>P8/SUMIF(Workload!$A$5:$A$40,"Grounds",Workload!$G$5:$G$40)*Staffing!$J$5+Q8/SUMIF(Workload!$A$5:$A$40,"Ecology",Workload!$G$5:$G$40)*Staffing!$J$7</x:f>
        <x:v>24621.59674540568</x:v>
      </x:c>
      <x:c r="S8" s="7" t="n">
        <x:v>0</x:v>
      </x:c>
      <x:c r="T8" s="23" t="n">
        <x:v>0</x:v>
      </x:c>
      <x:c r="U8" s="7" t="n">
        <x:v>0</x:v>
      </x:c>
      <x:c r="V8" s="7" t="n">
        <x:v>0</x:v>
      </x:c>
      <x:c r="W8" s="7" t="str">
        <x:v>https://parks.portlandciviclab.org/parks/alder-ridge-natural-area-1322</x:v>
      </x:c>
    </x:row>
    <x:row r="9" ht="23" customHeight="1">
      <x:c r="A9" s="8" t="str">
        <x:v>50</x:v>
      </x:c>
      <x:c r="B9" s="8" t="str">
        <x:v>Ankeny Plaza</x:v>
      </x:c>
      <x:c r="C9" s="8" t="str">
        <x:v>plaza-memorial</x:v>
      </x:c>
      <x:c r="D9" s="8" t="str">
        <x:v>District 4</x:v>
      </x:c>
      <x:c r="E9" s="18" t="n">
        <x:v>0.21434795</x:v>
      </x:c>
      <x:c r="F9" s="8" t="n">
        <x:v>1</x:v>
      </x:c>
      <x:c r="G9" s="8" t="n">
        <x:v>0</x:v>
      </x:c>
      <x:c r="H9" s="8" t="n">
        <x:v>0</x:v>
      </x:c>
      <x:c r="I9" s="8" t="n">
        <x:v>0</x:v>
      </x:c>
      <x:c r="J9" s="8" t="n">
        <x:v>0</x:v>
      </x:c>
      <x:c r="K9" s="8" t="n">
        <x:v>0</x:v>
      </x:c>
      <x:c r="L9" s="24" t="n">
        <x:f>F9*'Service inputs'!B68*'Service inputs'!C68</x:f>
        <x:v>730</x:v>
      </x:c>
      <x:c r="M9" s="24" t="n">
        <x:f>F9*E9*'Service inputs'!D68</x:f>
        <x:v>0</x:v>
      </x:c>
      <x:c r="N9" s="24" t="n">
        <x:f>F9*E9*'Service inputs'!E68</x:f>
        <x:v>0.021434795000000003</x:v>
      </x:c>
      <x:c r="O9" s="24" t="n">
        <x:f>F9*E9*'Service inputs'!F68</x:f>
        <x:v>0</x:v>
      </x:c>
      <x:c r="P9" s="24" t="n">
        <x:f>L9+F9*G9*'Service inputs'!$B$17*'Service inputs'!$B$18*'Service inputs'!$B$19+M9*('Service inputs'!$B$20*'Service inputs'!$B$21+'Service inputs'!$B$22)+N9*'Service inputs'!$B$23+F9*(H9*'Service inputs'!$B$28*'Service inputs'!$B$29+I9*'Service inputs'!$B$24*'Service inputs'!$B$25+J9*'Service inputs'!$B$26*'Service inputs'!$B$27+K9*'Service inputs'!$B$30*'Service inputs'!$B$31)</x:f>
        <x:v>732.5721754</x:v>
      </x:c>
      <x:c r="Q9" s="24" t="n">
        <x:f>O9/SUM($O$5:$O$320)*SUMIF(Workload!$A$5:$A$40,"Ecology",Workload!$G$5:$G$40)</x:f>
        <x:v>0</x:v>
      </x:c>
      <x:c r="R9" s="25" t="n">
        <x:f>P9/SUMIF(Workload!$A$5:$A$40,"Grounds",Workload!$G$5:$G$40)*Staffing!$J$5+Q9/SUMIF(Workload!$A$5:$A$40,"Ecology",Workload!$G$5:$G$40)*Staffing!$J$7</x:f>
        <x:v>74454.13605684723</x:v>
      </x:c>
      <x:c r="S9" s="8" t="n">
        <x:v>6</x:v>
      </x:c>
      <x:c r="T9" s="22" t="n">
        <x:v>0</x:v>
      </x:c>
      <x:c r="U9" s="8" t="n">
        <x:v>0</x:v>
      </x:c>
      <x:c r="V9" s="8" t="n">
        <x:v>0</x:v>
      </x:c>
      <x:c r="W9" s="8" t="str">
        <x:v>https://parks.portlandciviclab.org/parks/ankeny-plaza-50</x:v>
      </x:c>
    </x:row>
    <x:row r="10" ht="23" customHeight="1">
      <x:c r="A10" s="7" t="str">
        <x:v>51</x:v>
      </x:c>
      <x:c r="B10" s="7" t="str">
        <x:v>April Hill Park</x:v>
      </x:c>
      <x:c r="C10" s="7" t="str">
        <x:v>developed-park</x:v>
      </x:c>
      <x:c r="D10" s="7" t="str">
        <x:v>District 4</x:v>
      </x:c>
      <x:c r="E10" s="19" t="n">
        <x:v>10.12226537</x:v>
      </x:c>
      <x:c r="F10" s="7" t="n">
        <x:v>1</x:v>
      </x:c>
      <x:c r="G10" s="7" t="n">
        <x:v>0</x:v>
      </x:c>
      <x:c r="H10" s="7" t="n">
        <x:v>1</x:v>
      </x:c>
      <x:c r="I10" s="7" t="n">
        <x:v>2</x:v>
      </x:c>
      <x:c r="J10" s="7" t="n">
        <x:v>0</x:v>
      </x:c>
      <x:c r="K10" s="7" t="n">
        <x:v>0</x:v>
      </x:c>
      <x:c r="L10" s="26" t="n">
        <x:f>F10*'Service inputs'!B65*'Service inputs'!C65</x:f>
        <x:v>547.5</x:v>
      </x:c>
      <x:c r="M10" s="26" t="n">
        <x:f>F10*E10*'Service inputs'!D65</x:f>
        <x:v>5.5672459535</x:v>
      </x:c>
      <x:c r="N10" s="26" t="n">
        <x:f>F10*E10*'Service inputs'!E65</x:f>
        <x:v>0.5061132684999999</x:v>
      </x:c>
      <x:c r="O10" s="26" t="n">
        <x:f>F10*E10*'Service inputs'!F65</x:f>
        <x:v>2.5305663425</x:v>
      </x:c>
      <x:c r="P10" s="26" t="n">
        <x:f>L10+F10*G10*'Service inputs'!$B$17*'Service inputs'!$B$18*'Service inputs'!$B$19+M10*('Service inputs'!$B$20*'Service inputs'!$B$21+'Service inputs'!$B$22)+N10*'Service inputs'!$B$23+F10*(H10*'Service inputs'!$B$28*'Service inputs'!$B$29+I10*'Service inputs'!$B$24*'Service inputs'!$B$25+J10*'Service inputs'!$B$26*'Service inputs'!$B$27+K10*'Service inputs'!$B$30*'Service inputs'!$B$31)</x:f>
        <x:v>985.2802491504999</x:v>
      </x:c>
      <x:c r="Q10" s="26" t="n">
        <x:f>O10/SUM($O$5:$O$320)*SUMIF(Workload!$A$5:$A$40,"Ecology",Workload!$G$5:$G$40)</x:f>
        <x:v>26.565148437649746</x:v>
      </x:c>
      <x:c r="R10" s="27" t="n">
        <x:f>P10/SUMIF(Workload!$A$5:$A$40,"Grounds",Workload!$G$5:$G$40)*Staffing!$J$5+Q10/SUMIF(Workload!$A$5:$A$40,"Ecology",Workload!$G$5:$G$40)*Staffing!$J$7</x:f>
        <x:v>103212.32151522653</x:v>
      </x:c>
      <x:c r="S10" s="7" t="n">
        <x:v>36</x:v>
      </x:c>
      <x:c r="T10" s="23" t="n">
        <x:v>0.1388888888888889</x:v>
      </x:c>
      <x:c r="U10" s="7" t="n">
        <x:v>0</x:v>
      </x:c>
      <x:c r="V10" s="7" t="n">
        <x:v>1</x:v>
      </x:c>
      <x:c r="W10" s="7" t="str">
        <x:v>https://parks.portlandciviclab.org/parks/april-hill-park-51</x:v>
      </x:c>
    </x:row>
    <x:row r="11" ht="23" customHeight="1">
      <x:c r="A11" s="8" t="str">
        <x:v>52</x:v>
      </x:c>
      <x:c r="B11" s="8" t="str">
        <x:v>Arbor Lodge Park</x:v>
      </x:c>
      <x:c r="C11" s="8" t="str">
        <x:v>developed-park</x:v>
      </x:c>
      <x:c r="D11" s="8" t="str">
        <x:v>District 2</x:v>
      </x:c>
      <x:c r="E11" s="18" t="n">
        <x:v>8.69146831</x:v>
      </x:c>
      <x:c r="F11" s="8" t="n">
        <x:v>1</x:v>
      </x:c>
      <x:c r="G11" s="8" t="n">
        <x:v>1</x:v>
      </x:c>
      <x:c r="H11" s="8" t="n">
        <x:v>1</x:v>
      </x:c>
      <x:c r="I11" s="8" t="n">
        <x:v>3</x:v>
      </x:c>
      <x:c r="J11" s="8" t="n">
        <x:v>2</x:v>
      </x:c>
      <x:c r="K11" s="8" t="n">
        <x:v>0</x:v>
      </x:c>
      <x:c r="L11" s="24" t="n">
        <x:f>F11*'Service inputs'!B65*'Service inputs'!C65</x:f>
        <x:v>547.5</x:v>
      </x:c>
      <x:c r="M11" s="24" t="n">
        <x:f>F11*E11*'Service inputs'!D65</x:f>
        <x:v>4.7803075705</x:v>
      </x:c>
      <x:c r="N11" s="24" t="n">
        <x:f>F11*E11*'Service inputs'!E65</x:f>
        <x:v>0.4345734155</x:v>
      </x:c>
      <x:c r="O11" s="24" t="n">
        <x:f>F11*E11*'Service inputs'!F65</x:f>
        <x:v>2.1728670775</x:v>
      </x:c>
      <x:c r="P11" s="24" t="n">
        <x:f>L11+F11*G11*'Service inputs'!$B$17*'Service inputs'!$B$18*'Service inputs'!$B$19+M11*('Service inputs'!$B$20*'Service inputs'!$B$21+'Service inputs'!$B$22)+N11*'Service inputs'!$B$23+F11*(H11*'Service inputs'!$B$28*'Service inputs'!$B$29+I11*'Service inputs'!$B$24*'Service inputs'!$B$25+J11*'Service inputs'!$B$26*'Service inputs'!$B$27+K11*'Service inputs'!$B$30*'Service inputs'!$B$31)</x:f>
        <x:v>1421.3458839815</x:v>
      </x:c>
      <x:c r="Q11" s="24" t="n">
        <x:f>O11/SUM($O$5:$O$320)*SUMIF(Workload!$A$5:$A$40,"Ecology",Workload!$G$5:$G$40)</x:f>
        <x:v>22.81012573337413</x:v>
      </x:c>
      <x:c r="R11" s="25" t="n">
        <x:f>P11/SUMIF(Workload!$A$5:$A$40,"Grounds",Workload!$G$5:$G$40)*Staffing!$J$5+Q11/SUMIF(Workload!$A$5:$A$40,"Ecology",Workload!$G$5:$G$40)*Staffing!$J$7</x:f>
        <x:v>147096.77054441834</x:v>
      </x:c>
      <x:c r="S11" s="8" t="n">
        <x:v>119</x:v>
      </x:c>
      <x:c r="T11" s="22" t="n">
        <x:v>0.2184873949579832</x:v>
      </x:c>
      <x:c r="U11" s="8" t="n">
        <x:v>17</x:v>
      </x:c>
      <x:c r="V11" s="8" t="n">
        <x:v>1</x:v>
      </x:c>
      <x:c r="W11" s="8" t="str">
        <x:v>https://parks.portlandciviclab.org/parks/arbor-lodge-park-52</x:v>
      </x:c>
    </x:row>
    <x:row r="12" ht="23" customHeight="1">
      <x:c r="A12" s="7" t="str">
        <x:v>53</x:v>
      </x:c>
      <x:c r="B12" s="7" t="str">
        <x:v>Argay Park</x:v>
      </x:c>
      <x:c r="C12" s="7" t="str">
        <x:v>developed-park</x:v>
      </x:c>
      <x:c r="D12" s="7" t="str">
        <x:v>District 1</x:v>
      </x:c>
      <x:c r="E12" s="19" t="n">
        <x:v>8.92825225</x:v>
      </x:c>
      <x:c r="F12" s="7" t="n">
        <x:v>1</x:v>
      </x:c>
      <x:c r="G12" s="7" t="n">
        <x:v>0</x:v>
      </x:c>
      <x:c r="H12" s="7" t="n">
        <x:v>1</x:v>
      </x:c>
      <x:c r="I12" s="7" t="n">
        <x:v>2</x:v>
      </x:c>
      <x:c r="J12" s="7" t="n">
        <x:v>6</x:v>
      </x:c>
      <x:c r="K12" s="7" t="n">
        <x:v>0</x:v>
      </x:c>
      <x:c r="L12" s="26" t="n">
        <x:f>F12*'Service inputs'!B65*'Service inputs'!C65</x:f>
        <x:v>547.5</x:v>
      </x:c>
      <x:c r="M12" s="26" t="n">
        <x:f>F12*E12*'Service inputs'!D65</x:f>
        <x:v>4.9105387375000005</x:v>
      </x:c>
      <x:c r="N12" s="26" t="n">
        <x:f>F12*E12*'Service inputs'!E65</x:f>
        <x:v>0.44641261250000003</x:v>
      </x:c>
      <x:c r="O12" s="26" t="n">
        <x:f>F12*E12*'Service inputs'!F65</x:f>
        <x:v>2.2320630625</x:v>
      </x:c>
      <x:c r="P12" s="26" t="n">
        <x:f>L12+F12*G12*'Service inputs'!$B$17*'Service inputs'!$B$18*'Service inputs'!$B$19+M12*('Service inputs'!$B$20*'Service inputs'!$B$21+'Service inputs'!$B$22)+N12*'Service inputs'!$B$23+F12*(H12*'Service inputs'!$B$28*'Service inputs'!$B$29+I12*'Service inputs'!$B$24*'Service inputs'!$B$25+J12*'Service inputs'!$B$26*'Service inputs'!$B$27+K12*'Service inputs'!$B$30*'Service inputs'!$B$31)</x:f>
        <x:v>1071.0119044624998</x:v>
      </x:c>
      <x:c r="Q12" s="26" t="n">
        <x:f>O12/SUM($O$5:$O$320)*SUMIF(Workload!$A$5:$A$40,"Ecology",Workload!$G$5:$G$40)</x:f>
        <x:v>23.431547943109337</x:v>
      </x:c>
      <x:c r="R12" s="27" t="n">
        <x:f>P12/SUMIF(Workload!$A$5:$A$40,"Grounds",Workload!$G$5:$G$40)*Staffing!$J$5+Q12/SUMIF(Workload!$A$5:$A$40,"Ecology",Workload!$G$5:$G$40)*Staffing!$J$7</x:f>
        <x:v>111562.8964415338</x:v>
      </x:c>
      <x:c r="S12" s="7" t="n">
        <x:v>58</x:v>
      </x:c>
      <x:c r="T12" s="23" t="n">
        <x:v>0.3103448275862069</x:v>
      </x:c>
      <x:c r="U12" s="7" t="n">
        <x:v>4</x:v>
      </x:c>
      <x:c r="V12" s="7" t="n">
        <x:v>0</x:v>
      </x:c>
      <x:c r="W12" s="7" t="str">
        <x:v>https://parks.portlandciviclab.org/parks/argay-park-53</x:v>
      </x:c>
    </x:row>
    <x:row r="13" ht="23" customHeight="1">
      <x:c r="A13" s="8" t="str">
        <x:v>1221</x:v>
      </x:c>
      <x:c r="B13" s="8" t="str">
        <x:v>Arnold Creek Natural Area</x:v>
      </x:c>
      <x:c r="C13" s="8" t="str">
        <x:v>natural-area</x:v>
      </x:c>
      <x:c r="D13" s="8" t="str">
        <x:v>District 4</x:v>
      </x:c>
      <x:c r="E13" s="18" t="n">
        <x:v>0.47920382</x:v>
      </x:c>
      <x:c r="F13" s="8" t="n">
        <x:v>1</x:v>
      </x:c>
      <x:c r="G13" s="8" t="n">
        <x:v>0</x:v>
      </x:c>
      <x:c r="H13" s="8" t="n">
        <x:v>0</x:v>
      </x:c>
      <x:c r="I13" s="8" t="n">
        <x:v>0</x:v>
      </x:c>
      <x:c r="J13" s="8" t="n">
        <x:v>0</x:v>
      </x:c>
      <x:c r="K13" s="8" t="n">
        <x:v>0</x:v>
      </x:c>
      <x:c r="L13" s="24" t="n">
        <x:f>F13*'Service inputs'!B66*'Service inputs'!C66</x:f>
        <x:v>78</x:v>
      </x:c>
      <x:c r="M13" s="24" t="n">
        <x:f>F13*E13*'Service inputs'!D66</x:f>
        <x:v>0.0023960191</x:v>
      </x:c>
      <x:c r="N13" s="24" t="n">
        <x:f>F13*E13*'Service inputs'!E66</x:f>
        <x:v>0</x:v>
      </x:c>
      <x:c r="O13" s="24" t="n">
        <x:f>F13*E13*'Service inputs'!F66</x:f>
        <x:v>0.4744117818</x:v>
      </x:c>
      <x:c r="P13" s="24" t="n">
        <x:f>L13+F13*G13*'Service inputs'!$B$17*'Service inputs'!$B$18*'Service inputs'!$B$19+M13*('Service inputs'!$B$20*'Service inputs'!$B$21+'Service inputs'!$B$22)+N13*'Service inputs'!$B$23+F13*(H13*'Service inputs'!$B$28*'Service inputs'!$B$29+I13*'Service inputs'!$B$24*'Service inputs'!$B$25+J13*'Service inputs'!$B$26*'Service inputs'!$B$27+K13*'Service inputs'!$B$30*'Service inputs'!$B$31)</x:f>
        <x:v>78.0551084393</x:v>
      </x:c>
      <x:c r="Q13" s="24" t="n">
        <x:f>O13/SUM($O$5:$O$320)*SUMIF(Workload!$A$5:$A$40,"Ecology",Workload!$G$5:$G$40)</x:f>
        <x:v>4.980236713192159</x:v>
      </x:c>
      <x:c r="R13" s="25" t="n">
        <x:f>P13/SUMIF(Workload!$A$5:$A$40,"Grounds",Workload!$G$5:$G$40)*Staffing!$J$5+Q13/SUMIF(Workload!$A$5:$A$40,"Ecology",Workload!$G$5:$G$40)*Staffing!$J$7</x:f>
        <x:v>8509.424147814583</x:v>
      </x:c>
      <x:c r="S13" s="8" t="n">
        <x:v>0</x:v>
      </x:c>
      <x:c r="T13" s="22" t="n">
        <x:v>0</x:v>
      </x:c>
      <x:c r="U13" s="8" t="n">
        <x:v>0</x:v>
      </x:c>
      <x:c r="V13" s="8" t="n">
        <x:v>0</x:v>
      </x:c>
      <x:c r="W13" s="8" t="str">
        <x:v>https://parks.portlandciviclab.org/parks/arnold-creek-natural-area-1221</x:v>
      </x:c>
    </x:row>
    <x:row r="14" ht="23" customHeight="1">
      <x:c r="A14" s="7" t="str">
        <x:v>55</x:v>
      </x:c>
      <x:c r="B14" s="7" t="str">
        <x:v>Ash Creek Natural Area</x:v>
      </x:c>
      <x:c r="C14" s="7" t="str">
        <x:v>natural-area</x:v>
      </x:c>
      <x:c r="D14" s="7" t="str">
        <x:v>District 4</x:v>
      </x:c>
      <x:c r="E14" s="19" t="n">
        <x:v>5.64473285</x:v>
      </x:c>
      <x:c r="F14" s="7" t="n">
        <x:v>1</x:v>
      </x:c>
      <x:c r="G14" s="7" t="n">
        <x:v>0</x:v>
      </x:c>
      <x:c r="H14" s="7" t="n">
        <x:v>0</x:v>
      </x:c>
      <x:c r="I14" s="7" t="n">
        <x:v>0</x:v>
      </x:c>
      <x:c r="J14" s="7" t="n">
        <x:v>0</x:v>
      </x:c>
      <x:c r="K14" s="7" t="n">
        <x:v>0</x:v>
      </x:c>
      <x:c r="L14" s="26" t="n">
        <x:f>F14*'Service inputs'!B66*'Service inputs'!C66</x:f>
        <x:v>78</x:v>
      </x:c>
      <x:c r="M14" s="26" t="n">
        <x:f>F14*E14*'Service inputs'!D66</x:f>
        <x:v>0.02822366425</x:v>
      </x:c>
      <x:c r="N14" s="26" t="n">
        <x:f>F14*E14*'Service inputs'!E66</x:f>
        <x:v>0</x:v>
      </x:c>
      <x:c r="O14" s="26" t="n">
        <x:f>F14*E14*'Service inputs'!F66</x:f>
        <x:v>5.5882855215</x:v>
      </x:c>
      <x:c r="P14" s="26" t="n">
        <x:f>L14+F14*G14*'Service inputs'!$B$17*'Service inputs'!$B$18*'Service inputs'!$B$19+M14*('Service inputs'!$B$20*'Service inputs'!$B$21+'Service inputs'!$B$22)+N14*'Service inputs'!$B$23+F14*(H14*'Service inputs'!$B$28*'Service inputs'!$B$29+I14*'Service inputs'!$B$24*'Service inputs'!$B$25+J14*'Service inputs'!$B$26*'Service inputs'!$B$27+K14*'Service inputs'!$B$30*'Service inputs'!$B$31)</x:f>
        <x:v>78.64914427775</x:v>
      </x:c>
      <x:c r="Q14" s="26" t="n">
        <x:f>O14/SUM($O$5:$O$320)*SUMIF(Workload!$A$5:$A$40,"Ecology",Workload!$G$5:$G$40)</x:f>
        <x:v>58.664193819932</x:v>
      </x:c>
      <x:c r="R14" s="27" t="n">
        <x:f>P14/SUMIF(Workload!$A$5:$A$40,"Grounds",Workload!$G$5:$G$40)*Staffing!$J$5+Q14/SUMIF(Workload!$A$5:$A$40,"Ecology",Workload!$G$5:$G$40)*Staffing!$J$7</x:f>
        <x:v>14782.8537992403</x:v>
      </x:c>
      <x:c r="S14" s="7" t="n">
        <x:v>2</x:v>
      </x:c>
      <x:c r="T14" s="23" t="n">
        <x:v>1</x:v>
      </x:c>
      <x:c r="U14" s="7" t="n">
        <x:v>0</x:v>
      </x:c>
      <x:c r="V14" s="7" t="n">
        <x:v>0</x:v>
      </x:c>
      <x:c r="W14" s="7" t="str">
        <x:v>https://parks.portlandciviclab.org/parks/ash-creek-natural-area-55</x:v>
      </x:c>
    </x:row>
    <x:row r="15" ht="23" customHeight="1">
      <x:c r="A15" s="8" t="str">
        <x:v>1406</x:v>
      </x:c>
      <x:c r="B15" s="8" t="str">
        <x:v>Baltimore Woods Natural Area</x:v>
      </x:c>
      <x:c r="C15" s="8" t="str">
        <x:v>natural-area</x:v>
      </x:c>
      <x:c r="D15" s="8" t="str">
        <x:v>District 2</x:v>
      </x:c>
      <x:c r="E15" s="18" t="n">
        <x:v>7.40058745</x:v>
      </x:c>
      <x:c r="F15" s="8" t="n">
        <x:v>1</x:v>
      </x:c>
      <x:c r="G15" s="8" t="n">
        <x:v>0</x:v>
      </x:c>
      <x:c r="H15" s="8" t="n">
        <x:v>0</x:v>
      </x:c>
      <x:c r="I15" s="8" t="n">
        <x:v>0</x:v>
      </x:c>
      <x:c r="J15" s="8" t="n">
        <x:v>0</x:v>
      </x:c>
      <x:c r="K15" s="8" t="n">
        <x:v>0</x:v>
      </x:c>
      <x:c r="L15" s="24" t="n">
        <x:f>F15*'Service inputs'!B66*'Service inputs'!C66</x:f>
        <x:v>78</x:v>
      </x:c>
      <x:c r="M15" s="24" t="n">
        <x:f>F15*E15*'Service inputs'!D66</x:f>
        <x:v>0.03700293725</x:v>
      </x:c>
      <x:c r="N15" s="24" t="n">
        <x:f>F15*E15*'Service inputs'!E66</x:f>
        <x:v>0</x:v>
      </x:c>
      <x:c r="O15" s="24" t="n">
        <x:f>F15*E15*'Service inputs'!F66</x:f>
        <x:v>7.3265815755</x:v>
      </x:c>
      <x:c r="P15" s="24" t="n">
        <x:f>L15+F15*G15*'Service inputs'!$B$17*'Service inputs'!$B$18*'Service inputs'!$B$19+M15*('Service inputs'!$B$20*'Service inputs'!$B$21+'Service inputs'!$B$22)+N15*'Service inputs'!$B$23+F15*(H15*'Service inputs'!$B$28*'Service inputs'!$B$29+I15*'Service inputs'!$B$24*'Service inputs'!$B$25+J15*'Service inputs'!$B$26*'Service inputs'!$B$27+K15*'Service inputs'!$B$30*'Service inputs'!$B$31)</x:f>
        <x:v>78.85106755675</x:v>
      </x:c>
      <x:c r="Q15" s="24" t="n">
        <x:f>O15/SUM($O$5:$O$320)*SUMIF(Workload!$A$5:$A$40,"Ecology",Workload!$G$5:$G$40)</x:f>
        <x:v>76.91231951715064</x:v>
      </x:c>
      <x:c r="R15" s="25" t="n">
        <x:f>P15/SUMIF(Workload!$A$5:$A$40,"Grounds",Workload!$G$5:$G$40)*Staffing!$J$5+Q15/SUMIF(Workload!$A$5:$A$40,"Ecology",Workload!$G$5:$G$40)*Staffing!$J$7</x:f>
        <x:v>16915.303398740904</x:v>
      </x:c>
      <x:c r="S15" s="8" t="n">
        <x:v>0</x:v>
      </x:c>
      <x:c r="T15" s="22" t="n">
        <x:v>0</x:v>
      </x:c>
      <x:c r="U15" s="8" t="n">
        <x:v>0</x:v>
      </x:c>
      <x:c r="V15" s="8" t="n">
        <x:v>0</x:v>
      </x:c>
      <x:c r="W15" s="8" t="str">
        <x:v>https://parks.portlandciviclab.org/parks/baltimore-woods-natural-area-1406</x:v>
      </x:c>
    </x:row>
    <x:row r="16" ht="23" customHeight="1">
      <x:c r="A16" s="7" t="str">
        <x:v>1218</x:v>
      </x:c>
      <x:c r="B16" s="7" t="str">
        <x:v>Beach Community Garden</x:v>
      </x:c>
      <x:c r="C16" s="7" t="str">
        <x:v>community-garden</x:v>
      </x:c>
      <x:c r="D16" s="7" t="str">
        <x:v>District 2</x:v>
      </x:c>
      <x:c r="E16" s="19" t="n">
        <x:v>0.41323248</x:v>
      </x:c>
      <x:c r="F16" s="7" t="n">
        <x:v>1</x:v>
      </x:c>
      <x:c r="G16" s="7" t="n">
        <x:v>0</x:v>
      </x:c>
      <x:c r="H16" s="7" t="n">
        <x:v>0</x:v>
      </x:c>
      <x:c r="I16" s="7" t="n">
        <x:v>0</x:v>
      </x:c>
      <x:c r="J16" s="7" t="n">
        <x:v>0</x:v>
      </x:c>
      <x:c r="K16" s="7" t="n">
        <x:v>0</x:v>
      </x:c>
      <x:c r="L16" s="26" t="n">
        <x:f>F16*'Service inputs'!B67*'Service inputs'!C67</x:f>
        <x:v>52</x:v>
      </x:c>
      <x:c r="M16" s="26" t="n">
        <x:f>F16*E16*'Service inputs'!D67</x:f>
        <x:v>0.020661624000000003</x:v>
      </x:c>
      <x:c r="N16" s="26" t="n">
        <x:f>F16*E16*'Service inputs'!E67</x:f>
        <x:v>0.04132324800000001</x:v>
      </x:c>
      <x:c r="O16" s="26" t="n">
        <x:f>F16*E16*'Service inputs'!F67</x:f>
        <x:v>0</x:v>
      </x:c>
      <x:c r="P16" s="26" t="n">
        <x:f>L16+F16*G16*'Service inputs'!$B$17*'Service inputs'!$B$18*'Service inputs'!$B$19+M16*('Service inputs'!$B$20*'Service inputs'!$B$21+'Service inputs'!$B$22)+N16*'Service inputs'!$B$23+F16*(H16*'Service inputs'!$B$28*'Service inputs'!$B$29+I16*'Service inputs'!$B$24*'Service inputs'!$B$25+J16*'Service inputs'!$B$26*'Service inputs'!$B$27+K16*'Service inputs'!$B$30*'Service inputs'!$B$31)</x:f>
        <x:v>57.434007112</x:v>
      </x:c>
      <x:c r="Q16" s="26" t="n">
        <x:f>O16/SUM($O$5:$O$320)*SUMIF(Workload!$A$5:$A$40,"Ecology",Workload!$G$5:$G$40)</x:f>
        <x:v>0</x:v>
      </x:c>
      <x:c r="R16" s="27" t="n">
        <x:f>P16/SUMIF(Workload!$A$5:$A$40,"Grounds",Workload!$G$5:$G$40)*Staffing!$J$5+Q16/SUMIF(Workload!$A$5:$A$40,"Ecology",Workload!$G$5:$G$40)*Staffing!$J$7</x:f>
        <x:v>5837.239692419227</x:v>
      </x:c>
      <x:c r="S16" s="7" t="n">
        <x:v>4</x:v>
      </x:c>
      <x:c r="T16" s="23" t="n">
        <x:v>0.5</x:v>
      </x:c>
      <x:c r="U16" s="7" t="n">
        <x:v>1</x:v>
      </x:c>
      <x:c r="V16" s="7" t="n">
        <x:v>0</x:v>
      </x:c>
      <x:c r="W16" s="7" t="str">
        <x:v>https://parks.portlandciviclab.org/parks/beach-community-garden-1218</x:v>
      </x:c>
    </x:row>
    <x:row r="17" ht="23" customHeight="1">
      <x:c r="A17" s="8" t="str">
        <x:v>1395</x:v>
      </x:c>
      <x:c r="B17" s="8" t="str">
        <x:v>Beggars Tick</x:v>
      </x:c>
      <x:c r="C17" s="8" t="str">
        <x:v>natural-area</x:v>
      </x:c>
      <x:c r="D17" s="8" t="str">
        <x:v>District 1</x:v>
      </x:c>
      <x:c r="E17" s="18" t="n">
        <x:v>20.54099887</x:v>
      </x:c>
      <x:c r="F17" s="8" t="n">
        <x:v>1</x:v>
      </x:c>
      <x:c r="G17" s="8" t="n">
        <x:v>0</x:v>
      </x:c>
      <x:c r="H17" s="8" t="n">
        <x:v>0</x:v>
      </x:c>
      <x:c r="I17" s="8" t="n">
        <x:v>0</x:v>
      </x:c>
      <x:c r="J17" s="8" t="n">
        <x:v>0</x:v>
      </x:c>
      <x:c r="K17" s="8" t="n">
        <x:v>0</x:v>
      </x:c>
      <x:c r="L17" s="24" t="n">
        <x:f>F17*'Service inputs'!B66*'Service inputs'!C66</x:f>
        <x:v>78</x:v>
      </x:c>
      <x:c r="M17" s="24" t="n">
        <x:f>F17*E17*'Service inputs'!D66</x:f>
        <x:v>0.10270499435</x:v>
      </x:c>
      <x:c r="N17" s="24" t="n">
        <x:f>F17*E17*'Service inputs'!E66</x:f>
        <x:v>0</x:v>
      </x:c>
      <x:c r="O17" s="24" t="n">
        <x:f>F17*E17*'Service inputs'!F66</x:f>
        <x:v>20.335588881299998</x:v>
      </x:c>
      <x:c r="P17" s="24" t="n">
        <x:f>L17+F17*G17*'Service inputs'!$B$17*'Service inputs'!$B$18*'Service inputs'!$B$19+M17*('Service inputs'!$B$20*'Service inputs'!$B$21+'Service inputs'!$B$22)+N17*'Service inputs'!$B$23+F17*(H17*'Service inputs'!$B$28*'Service inputs'!$B$29+I17*'Service inputs'!$B$24*'Service inputs'!$B$25+J17*'Service inputs'!$B$26*'Service inputs'!$B$27+K17*'Service inputs'!$B$30*'Service inputs'!$B$31)</x:f>
        <x:v>80.36221487005</x:v>
      </x:c>
      <x:c r="Q17" s="24" t="n">
        <x:f>O17/SUM($O$5:$O$320)*SUMIF(Workload!$A$5:$A$40,"Ecology",Workload!$G$5:$G$40)</x:f>
        <x:v>213.47708934793684</x:v>
      </x:c>
      <x:c r="R17" s="25" t="n">
        <x:f>P17/SUMIF(Workload!$A$5:$A$40,"Grounds",Workload!$G$5:$G$40)*Staffing!$J$5+Q17/SUMIF(Workload!$A$5:$A$40,"Ecology",Workload!$G$5:$G$40)*Staffing!$J$7</x:f>
        <x:v>32874.06505807885</x:v>
      </x:c>
      <x:c r="S17" s="8" t="n">
        <x:v>0</x:v>
      </x:c>
      <x:c r="T17" s="22" t="n">
        <x:v>0</x:v>
      </x:c>
      <x:c r="U17" s="8" t="n">
        <x:v>0</x:v>
      </x:c>
      <x:c r="V17" s="8" t="n">
        <x:v>0</x:v>
      </x:c>
      <x:c r="W17" s="8" t="str">
        <x:v>https://parks.portlandciviclab.org/parks/beggars-tick-1395</x:v>
      </x:c>
    </x:row>
    <x:row r="18" ht="23" customHeight="1">
      <x:c r="A18" s="7" t="str">
        <x:v>57</x:v>
      </x:c>
      <x:c r="B18" s="7" t="str">
        <x:v>Berkeley Park</x:v>
      </x:c>
      <x:c r="C18" s="7" t="str">
        <x:v>developed-park</x:v>
      </x:c>
      <x:c r="D18" s="7" t="str">
        <x:v>District 4</x:v>
      </x:c>
      <x:c r="E18" s="19" t="n">
        <x:v>6.48069285</x:v>
      </x:c>
      <x:c r="F18" s="7" t="n">
        <x:v>1</x:v>
      </x:c>
      <x:c r="G18" s="7" t="n">
        <x:v>1</x:v>
      </x:c>
      <x:c r="H18" s="7" t="n">
        <x:v>1</x:v>
      </x:c>
      <x:c r="I18" s="7" t="n">
        <x:v>2</x:v>
      </x:c>
      <x:c r="J18" s="7" t="n">
        <x:v>2</x:v>
      </x:c>
      <x:c r="K18" s="7" t="n">
        <x:v>0</x:v>
      </x:c>
      <x:c r="L18" s="26" t="n">
        <x:f>F18*'Service inputs'!B65*'Service inputs'!C65</x:f>
        <x:v>547.5</x:v>
      </x:c>
      <x:c r="M18" s="26" t="n">
        <x:f>F18*E18*'Service inputs'!D65</x:f>
        <x:v>3.5643810675000003</x:v>
      </x:c>
      <x:c r="N18" s="26" t="n">
        <x:f>F18*E18*'Service inputs'!E65</x:f>
        <x:v>0.3240346425</x:v>
      </x:c>
      <x:c r="O18" s="26" t="n">
        <x:f>F18*E18*'Service inputs'!F65</x:f>
        <x:v>1.6201732125</x:v>
      </x:c>
      <x:c r="P18" s="26" t="n">
        <x:f>L18+F18*G18*'Service inputs'!$B$17*'Service inputs'!$B$18*'Service inputs'!$B$19+M18*('Service inputs'!$B$20*'Service inputs'!$B$21+'Service inputs'!$B$22)+N18*'Service inputs'!$B$23+F18*(H18*'Service inputs'!$B$28*'Service inputs'!$B$29+I18*'Service inputs'!$B$24*'Service inputs'!$B$25+J18*'Service inputs'!$B$26*'Service inputs'!$B$27+K18*'Service inputs'!$B$30*'Service inputs'!$B$31)</x:f>
        <x:v>1275.1149216525</x:v>
      </x:c>
      <x:c r="Q18" s="26" t="n">
        <x:f>O18/SUM($O$5:$O$320)*SUMIF(Workload!$A$5:$A$40,"Ecology",Workload!$G$5:$G$40)</x:f>
        <x:v>17.00810651035771</x:v>
      </x:c>
      <x:c r="R18" s="27" t="n">
        <x:f>P18/SUMIF(Workload!$A$5:$A$40,"Grounds",Workload!$G$5:$G$40)*Staffing!$J$5+Q18/SUMIF(Workload!$A$5:$A$40,"Ecology",Workload!$G$5:$G$40)*Staffing!$J$7</x:f>
        <x:v>131563.2632579031</x:v>
      </x:c>
      <x:c r="S18" s="7" t="n">
        <x:v>35</x:v>
      </x:c>
      <x:c r="T18" s="23" t="n">
        <x:v>0.17142857142857143</x:v>
      </x:c>
      <x:c r="U18" s="7" t="n">
        <x:v>1</x:v>
      </x:c>
      <x:c r="V18" s="7" t="n">
        <x:v>1</x:v>
      </x:c>
      <x:c r="W18" s="7" t="str">
        <x:v>https://parks.portlandciviclab.org/parks/berkeley-park-57</x:v>
      </x:c>
    </x:row>
    <x:row r="19" ht="23" customHeight="1">
      <x:c r="A19" s="8" t="str">
        <x:v>59</x:v>
      </x:c>
      <x:c r="B19" s="8" t="str">
        <x:v>Berrydale Park</x:v>
      </x:c>
      <x:c r="C19" s="8" t="str">
        <x:v>developed-park</x:v>
      </x:c>
      <x:c r="D19" s="8" t="str">
        <x:v>District 3</x:v>
      </x:c>
      <x:c r="E19" s="18" t="n">
        <x:v>6.31196119</x:v>
      </x:c>
      <x:c r="F19" s="8" t="n">
        <x:v>1</x:v>
      </x:c>
      <x:c r="G19" s="8" t="n">
        <x:v>0</x:v>
      </x:c>
      <x:c r="H19" s="8" t="n">
        <x:v>1</x:v>
      </x:c>
      <x:c r="I19" s="8" t="n">
        <x:v>2</x:v>
      </x:c>
      <x:c r="J19" s="8" t="n">
        <x:v>0</x:v>
      </x:c>
      <x:c r="K19" s="8" t="n">
        <x:v>0</x:v>
      </x:c>
      <x:c r="L19" s="24" t="n">
        <x:f>F19*'Service inputs'!B65*'Service inputs'!C65</x:f>
        <x:v>547.5</x:v>
      </x:c>
      <x:c r="M19" s="24" t="n">
        <x:f>F19*E19*'Service inputs'!D65</x:f>
        <x:v>3.4715786545</x:v>
      </x:c>
      <x:c r="N19" s="24" t="n">
        <x:f>F19*E19*'Service inputs'!E65</x:f>
        <x:v>0.3155980595</x:v>
      </x:c>
      <x:c r="O19" s="24" t="n">
        <x:f>F19*E19*'Service inputs'!F65</x:f>
        <x:v>1.5779902975</x:v>
      </x:c>
      <x:c r="P19" s="24" t="n">
        <x:f>L19+F19*G19*'Service inputs'!$B$17*'Service inputs'!$B$18*'Service inputs'!$B$19+M19*('Service inputs'!$B$20*'Service inputs'!$B$21+'Service inputs'!$B$22)+N19*'Service inputs'!$B$23+F19*(H19*'Service inputs'!$B$28*'Service inputs'!$B$29+I19*'Service inputs'!$B$24*'Service inputs'!$B$25+J19*'Service inputs'!$B$26*'Service inputs'!$B$27+K19*'Service inputs'!$B$30*'Service inputs'!$B$31)</x:f>
        <x:v>914.2180761935</x:v>
      </x:c>
      <x:c r="Q19" s="24" t="n">
        <x:f>O19/SUM($O$5:$O$320)*SUMIF(Workload!$A$5:$A$40,"Ecology",Workload!$G$5:$G$40)</x:f>
        <x:v>16.565282554436166</x:v>
      </x:c>
      <x:c r="R19" s="25" t="n">
        <x:f>P19/SUMIF(Workload!$A$5:$A$40,"Grounds",Workload!$G$5:$G$40)*Staffing!$J$5+Q19/SUMIF(Workload!$A$5:$A$40,"Ecology",Workload!$G$5:$G$40)*Staffing!$J$7</x:f>
        <x:v>94832.67494917347</x:v>
      </x:c>
      <x:c r="S19" s="8" t="n">
        <x:v>97</x:v>
      </x:c>
      <x:c r="T19" s="22" t="n">
        <x:v>0.030927835051546393</x:v>
      </x:c>
      <x:c r="U19" s="8" t="n">
        <x:v>1</x:v>
      </x:c>
      <x:c r="V19" s="8" t="n">
        <x:v>0</x:v>
      </x:c>
      <x:c r="W19" s="8" t="str">
        <x:v>https://parks.portlandciviclab.org/parks/berrydale-park-59</x:v>
      </x:c>
    </x:row>
    <x:row r="20" ht="23" customHeight="1">
      <x:c r="A20" s="7" t="str">
        <x:v>1417</x:v>
      </x:c>
      <x:c r="B20" s="7" t="str">
        <x:v>Big Four Corners Natural Area</x:v>
      </x:c>
      <x:c r="C20" s="7" t="str">
        <x:v>natural-area</x:v>
      </x:c>
      <x:c r="D20" s="7" t="str">
        <x:v>District 1</x:v>
      </x:c>
      <x:c r="E20" s="19" t="n">
        <x:v>145.06120265</x:v>
      </x:c>
      <x:c r="F20" s="7" t="n">
        <x:v>1</x:v>
      </x:c>
      <x:c r="G20" s="7" t="n">
        <x:v>0</x:v>
      </x:c>
      <x:c r="H20" s="7" t="n">
        <x:v>0</x:v>
      </x:c>
      <x:c r="I20" s="7" t="n">
        <x:v>0</x:v>
      </x:c>
      <x:c r="J20" s="7" t="n">
        <x:v>0</x:v>
      </x:c>
      <x:c r="K20" s="7" t="n">
        <x:v>0</x:v>
      </x:c>
      <x:c r="L20" s="26" t="n">
        <x:f>F20*'Service inputs'!B66*'Service inputs'!C66</x:f>
        <x:v>78</x:v>
      </x:c>
      <x:c r="M20" s="26" t="n">
        <x:f>F20*E20*'Service inputs'!D66</x:f>
        <x:v>0.7253060132500001</x:v>
      </x:c>
      <x:c r="N20" s="26" t="n">
        <x:f>F20*E20*'Service inputs'!E66</x:f>
        <x:v>0</x:v>
      </x:c>
      <x:c r="O20" s="26" t="n">
        <x:f>F20*E20*'Service inputs'!F66</x:f>
        <x:v>143.6105906235</x:v>
      </x:c>
      <x:c r="P20" s="26" t="n">
        <x:f>L20+F20*G20*'Service inputs'!$B$17*'Service inputs'!$B$18*'Service inputs'!$B$19+M20*('Service inputs'!$B$20*'Service inputs'!$B$21+'Service inputs'!$B$22)+N20*'Service inputs'!$B$23+F20*(H20*'Service inputs'!$B$28*'Service inputs'!$B$29+I20*'Service inputs'!$B$24*'Service inputs'!$B$25+J20*'Service inputs'!$B$26*'Service inputs'!$B$27+K20*'Service inputs'!$B$30*'Service inputs'!$B$31)</x:f>
        <x:v>94.68203830475</x:v>
      </x:c>
      <x:c r="Q20" s="26" t="n">
        <x:f>O20/SUM($O$5:$O$320)*SUMIF(Workload!$A$5:$A$40,"Ecology",Workload!$G$5:$G$40)</x:f>
        <x:v>1507.5821538679256</x:v>
      </x:c>
      <x:c r="R20" s="27" t="n">
        <x:f>P20/SUMIF(Workload!$A$5:$A$40,"Grounds",Workload!$G$5:$G$40)*Staffing!$J$5+Q20/SUMIF(Workload!$A$5:$A$40,"Ecology",Workload!$G$5:$G$40)*Staffing!$J$7</x:f>
        <x:v>184101.31284977787</x:v>
      </x:c>
      <x:c r="S20" s="7" t="n">
        <x:v>0</x:v>
      </x:c>
      <x:c r="T20" s="23" t="n">
        <x:v>0</x:v>
      </x:c>
      <x:c r="U20" s="7" t="n">
        <x:v>0</x:v>
      </x:c>
      <x:c r="V20" s="7" t="n">
        <x:v>0</x:v>
      </x:c>
      <x:c r="W20" s="7" t="str">
        <x:v>https://parks.portlandciviclab.org/parks/big-four-corners-natural-area-1417</x:v>
      </x:c>
    </x:row>
    <x:row r="21" ht="23" customHeight="1">
      <x:c r="A21" s="8" t="str">
        <x:v>60</x:v>
      </x:c>
      <x:c r="B21" s="8" t="str">
        <x:v>Blair Community Garden</x:v>
      </x:c>
      <x:c r="C21" s="8" t="str">
        <x:v>community-garden</x:v>
      </x:c>
      <x:c r="D21" s="8" t="str">
        <x:v>District 3</x:v>
      </x:c>
      <x:c r="E21" s="18" t="n">
        <x:v>0.19961219</x:v>
      </x:c>
      <x:c r="F21" s="8" t="n">
        <x:v>1</x:v>
      </x:c>
      <x:c r="G21" s="8" t="n">
        <x:v>0</x:v>
      </x:c>
      <x:c r="H21" s="8" t="n">
        <x:v>0</x:v>
      </x:c>
      <x:c r="I21" s="8" t="n">
        <x:v>0</x:v>
      </x:c>
      <x:c r="J21" s="8" t="n">
        <x:v>0</x:v>
      </x:c>
      <x:c r="K21" s="8" t="n">
        <x:v>0</x:v>
      </x:c>
      <x:c r="L21" s="24" t="n">
        <x:f>F21*'Service inputs'!B67*'Service inputs'!C67</x:f>
        <x:v>52</x:v>
      </x:c>
      <x:c r="M21" s="24" t="n">
        <x:f>F21*E21*'Service inputs'!D67</x:f>
        <x:v>0.009980609500000001</x:v>
      </x:c>
      <x:c r="N21" s="24" t="n">
        <x:f>F21*E21*'Service inputs'!E67</x:f>
        <x:v>0.019961219000000002</x:v>
      </x:c>
      <x:c r="O21" s="24" t="n">
        <x:f>F21*E21*'Service inputs'!F67</x:f>
        <x:v>0</x:v>
      </x:c>
      <x:c r="P21" s="24" t="n">
        <x:f>L21+F21*G21*'Service inputs'!$B$17*'Service inputs'!$B$18*'Service inputs'!$B$19+M21*('Service inputs'!$B$20*'Service inputs'!$B$21+'Service inputs'!$B$22)+N21*'Service inputs'!$B$23+F21*(H21*'Service inputs'!$B$28*'Service inputs'!$B$29+I21*'Service inputs'!$B$24*'Service inputs'!$B$25+J21*'Service inputs'!$B$26*'Service inputs'!$B$27+K21*'Service inputs'!$B$30*'Service inputs'!$B$31)</x:f>
        <x:v>54.624900298499995</x:v>
      </x:c>
      <x:c r="Q21" s="24" t="n">
        <x:f>O21/SUM($O$5:$O$320)*SUMIF(Workload!$A$5:$A$40,"Ecology",Workload!$G$5:$G$40)</x:f>
        <x:v>0</x:v>
      </x:c>
      <x:c r="R21" s="25" t="n">
        <x:f>P21/SUMIF(Workload!$A$5:$A$40,"Grounds",Workload!$G$5:$G$40)*Staffing!$J$5+Q21/SUMIF(Workload!$A$5:$A$40,"Ecology",Workload!$G$5:$G$40)*Staffing!$J$7</x:f>
        <x:v>5551.739330934236</x:v>
      </x:c>
      <x:c r="S21" s="8" t="n">
        <x:v>2</x:v>
      </x:c>
      <x:c r="T21" s="22" t="n">
        <x:v>0</x:v>
      </x:c>
      <x:c r="U21" s="8" t="n">
        <x:v>0</x:v>
      </x:c>
      <x:c r="V21" s="8" t="n">
        <x:v>0</x:v>
      </x:c>
      <x:c r="W21" s="8" t="str">
        <x:v>https://parks.portlandciviclab.org/parks/blair-community-garden-60</x:v>
      </x:c>
    </x:row>
    <x:row r="22" ht="23" customHeight="1">
      <x:c r="A22" s="7" t="str">
        <x:v>61</x:v>
      </x:c>
      <x:c r="B22" s="7" t="str">
        <x:v>Bloomington Park</x:v>
      </x:c>
      <x:c r="C22" s="7" t="str">
        <x:v>developed-park</x:v>
      </x:c>
      <x:c r="D22" s="7" t="str">
        <x:v>District 1</x:v>
      </x:c>
      <x:c r="E22" s="19" t="n">
        <x:v>12.86525054</x:v>
      </x:c>
      <x:c r="F22" s="7" t="n">
        <x:v>1</x:v>
      </x:c>
      <x:c r="G22" s="7" t="n">
        <x:v>1</x:v>
      </x:c>
      <x:c r="H22" s="7" t="n">
        <x:v>1</x:v>
      </x:c>
      <x:c r="I22" s="7" t="n">
        <x:v>5</x:v>
      </x:c>
      <x:c r="J22" s="7" t="n">
        <x:v>1</x:v>
      </x:c>
      <x:c r="K22" s="7" t="n">
        <x:v>0</x:v>
      </x:c>
      <x:c r="L22" s="26" t="n">
        <x:f>F22*'Service inputs'!B65*'Service inputs'!C65</x:f>
        <x:v>547.5</x:v>
      </x:c>
      <x:c r="M22" s="26" t="n">
        <x:f>F22*E22*'Service inputs'!D65</x:f>
        <x:v>7.075887797000001</x:v>
      </x:c>
      <x:c r="N22" s="26" t="n">
        <x:f>F22*E22*'Service inputs'!E65</x:f>
        <x:v>0.6432625270000001</x:v>
      </x:c>
      <x:c r="O22" s="26" t="n">
        <x:f>F22*E22*'Service inputs'!F65</x:f>
        <x:v>3.216312635</x:v>
      </x:c>
      <x:c r="P22" s="26" t="n">
        <x:f>L22+F22*G22*'Service inputs'!$B$17*'Service inputs'!$B$18*'Service inputs'!$B$19+M22*('Service inputs'!$B$20*'Service inputs'!$B$21+'Service inputs'!$B$22)+N22*'Service inputs'!$B$23+F22*(H22*'Service inputs'!$B$28*'Service inputs'!$B$29+I22*'Service inputs'!$B$24*'Service inputs'!$B$25+J22*'Service inputs'!$B$26*'Service inputs'!$B$27+K22*'Service inputs'!$B$30*'Service inputs'!$B$31)</x:f>
        <x:v>1691.186922571</x:v>
      </x:c>
      <x:c r="Q22" s="26" t="n">
        <x:f>O22/SUM($O$5:$O$320)*SUMIF(Workload!$A$5:$A$40,"Ecology",Workload!$G$5:$G$40)</x:f>
        <x:v>33.76391329312221</x:v>
      </x:c>
      <x:c r="R22" s="27" t="n">
        <x:f>P22/SUMIF(Workload!$A$5:$A$40,"Grounds",Workload!$G$5:$G$40)*Staffing!$J$5+Q22/SUMIF(Workload!$A$5:$A$40,"Ecology",Workload!$G$5:$G$40)*Staffing!$J$7</x:f>
        <x:v>175789.48111450925</x:v>
      </x:c>
      <x:c r="S22" s="7" t="n">
        <x:v>62</x:v>
      </x:c>
      <x:c r="T22" s="23" t="n">
        <x:v>0.24193548387096775</x:v>
      </x:c>
      <x:c r="U22" s="7" t="n">
        <x:v>2</x:v>
      </x:c>
      <x:c r="V22" s="7" t="n">
        <x:v>0</x:v>
      </x:c>
      <x:c r="W22" s="7" t="str">
        <x:v>https://parks.portlandciviclab.org/parks/bloomington-park-61</x:v>
      </x:c>
    </x:row>
    <x:row r="23" ht="23" customHeight="1">
      <x:c r="A23" s="8" t="str">
        <x:v>1398</x:v>
      </x:c>
      <x:c r="B23" s="8" t="str">
        <x:v>Brannen Property</x:v>
      </x:c>
      <x:c r="C23" s="8" t="str">
        <x:v>uncertain</x:v>
      </x:c>
      <x:c r="D23" s="8" t="str">
        <x:v>District 4</x:v>
      </x:c>
      <x:c r="E23" s="18" t="n">
        <x:v>0.34440593</x:v>
      </x:c>
      <x:c r="F23" s="8" t="n">
        <x:v>1</x:v>
      </x:c>
      <x:c r="G23" s="8" t="n">
        <x:v>0</x:v>
      </x:c>
      <x:c r="H23" s="8" t="n">
        <x:v>0</x:v>
      </x:c>
      <x:c r="I23" s="8" t="n">
        <x:v>0</x:v>
      </x:c>
      <x:c r="J23" s="8" t="n">
        <x:v>0</x:v>
      </x:c>
      <x:c r="K23" s="8" t="n">
        <x:v>0</x:v>
      </x:c>
      <x:c r="L23" s="24" t="n">
        <x:f>F23*'Service inputs'!B74*'Service inputs'!C74</x:f>
        <x:v>52</x:v>
      </x:c>
      <x:c r="M23" s="24" t="n">
        <x:f>F23*E23*'Service inputs'!D74</x:f>
        <x:v>0.034440593000000005</x:v>
      </x:c>
      <x:c r="N23" s="24" t="n">
        <x:f>F23*E23*'Service inputs'!E74</x:f>
        <x:v>0.006888118600000001</x:v>
      </x:c>
      <x:c r="O23" s="24" t="n">
        <x:f>F23*E23*'Service inputs'!F74</x:f>
        <x:v>0.172202965</x:v>
      </x:c>
      <x:c r="P23" s="24" t="n">
        <x:f>L23+F23*G23*'Service inputs'!$B$17*'Service inputs'!$B$18*'Service inputs'!$B$19+M23*('Service inputs'!$B$20*'Service inputs'!$B$21+'Service inputs'!$B$22)+N23*'Service inputs'!$B$23+F23*(H23*'Service inputs'!$B$28*'Service inputs'!$B$29+I23*'Service inputs'!$B$24*'Service inputs'!$B$25+J23*'Service inputs'!$B$26*'Service inputs'!$B$27+K23*'Service inputs'!$B$30*'Service inputs'!$B$31)</x:f>
        <x:v>53.618707871</x:v>
      </x:c>
      <x:c r="Q23" s="24" t="n">
        <x:f>O23/SUM($O$5:$O$320)*SUMIF(Workload!$A$5:$A$40,"Ecology",Workload!$G$5:$G$40)</x:f>
        <x:v>1.8077365725606953</x:v>
      </x:c>
      <x:c r="R23" s="25" t="n">
        <x:f>P23/SUMIF(Workload!$A$5:$A$40,"Grounds",Workload!$G$5:$G$40)*Staffing!$J$5+Q23/SUMIF(Workload!$A$5:$A$40,"Ecology",Workload!$G$5:$G$40)*Staffing!$J$7</x:f>
        <x:v>5658.692576638314</x:v>
      </x:c>
      <x:c r="S23" s="8" t="n">
        <x:v>0</x:v>
      </x:c>
      <x:c r="T23" s="22" t="n">
        <x:v>0</x:v>
      </x:c>
      <x:c r="U23" s="8" t="n">
        <x:v>0</x:v>
      </x:c>
      <x:c r="V23" s="8" t="n">
        <x:v>0</x:v>
      </x:c>
      <x:c r="W23" s="8" t="str">
        <x:v>https://parks.portlandciviclab.org/parks/brannen-property-1398</x:v>
      </x:c>
    </x:row>
    <x:row r="24" ht="23" customHeight="1">
      <x:c r="A24" s="7" t="str">
        <x:v>63</x:v>
      </x:c>
      <x:c r="B24" s="7" t="str">
        <x:v>Brentwood Park</x:v>
      </x:c>
      <x:c r="C24" s="7" t="str">
        <x:v>developed-park</x:v>
      </x:c>
      <x:c r="D24" s="7" t="str">
        <x:v>District 3</x:v>
      </x:c>
      <x:c r="E24" s="19" t="n">
        <x:v>14.0621681</x:v>
      </x:c>
      <x:c r="F24" s="7" t="n">
        <x:v>1</x:v>
      </x:c>
      <x:c r="G24" s="7" t="n">
        <x:v>1</x:v>
      </x:c>
      <x:c r="H24" s="7" t="n">
        <x:v>1</x:v>
      </x:c>
      <x:c r="I24" s="7" t="n">
        <x:v>4</x:v>
      </x:c>
      <x:c r="J24" s="7" t="n">
        <x:v>4</x:v>
      </x:c>
      <x:c r="K24" s="7" t="n">
        <x:v>0</x:v>
      </x:c>
      <x:c r="L24" s="26" t="n">
        <x:f>F24*'Service inputs'!B65*'Service inputs'!C65</x:f>
        <x:v>547.5</x:v>
      </x:c>
      <x:c r="M24" s="26" t="n">
        <x:f>F24*E24*'Service inputs'!D65</x:f>
        <x:v>7.7341924550000005</x:v>
      </x:c>
      <x:c r="N24" s="26" t="n">
        <x:f>F24*E24*'Service inputs'!E65</x:f>
        <x:v>0.703108405</x:v>
      </x:c>
      <x:c r="O24" s="26" t="n">
        <x:f>F24*E24*'Service inputs'!F65</x:f>
        <x:v>3.515542025</x:v>
      </x:c>
      <x:c r="P24" s="26" t="n">
        <x:f>L24+F24*G24*'Service inputs'!$B$17*'Service inputs'!$B$18*'Service inputs'!$B$19+M24*('Service inputs'!$B$20*'Service inputs'!$B$21+'Service inputs'!$B$22)+N24*'Service inputs'!$B$23+F24*(H24*'Service inputs'!$B$28*'Service inputs'!$B$29+I24*'Service inputs'!$B$24*'Service inputs'!$B$25+J24*'Service inputs'!$B$26*'Service inputs'!$B$27+K24*'Service inputs'!$B$30*'Service inputs'!$B$31)</x:f>
        <x:v>1662.5094350650002</x:v>
      </x:c>
      <x:c r="Q24" s="26" t="n">
        <x:f>O24/SUM($O$5:$O$320)*SUMIF(Workload!$A$5:$A$40,"Ecology",Workload!$G$5:$G$40)</x:f>
        <x:v>36.90513627896352</x:v>
      </x:c>
      <x:c r="R24" s="27" t="n">
        <x:f>P24/SUMIF(Workload!$A$5:$A$40,"Grounds",Workload!$G$5:$G$40)*Staffing!$J$5+Q24/SUMIF(Workload!$A$5:$A$40,"Ecology",Workload!$G$5:$G$40)*Staffing!$J$7</x:f>
        <x:v>173238.42352763383</x:v>
      </x:c>
      <x:c r="S24" s="7" t="n">
        <x:v>82</x:v>
      </x:c>
      <x:c r="T24" s="23" t="n">
        <x:v>0.2926829268292683</x:v>
      </x:c>
      <x:c r="U24" s="7" t="n">
        <x:v>8</x:v>
      </x:c>
      <x:c r="V24" s="7" t="n">
        <x:v>0</x:v>
      </x:c>
      <x:c r="W24" s="7" t="str">
        <x:v>https://parks.portlandciviclab.org/parks/brentwood-park-63</x:v>
      </x:c>
    </x:row>
    <x:row r="25" ht="23" customHeight="1">
      <x:c r="A25" s="8" t="str">
        <x:v>1421</x:v>
      </x:c>
      <x:c r="B25" s="8" t="str">
        <x:v>Bridgeton Slough Natural Area</x:v>
      </x:c>
      <x:c r="C25" s="8" t="str">
        <x:v>natural-area</x:v>
      </x:c>
      <x:c r="D25" s="8" t="str">
        <x:v>District 2</x:v>
      </x:c>
      <x:c r="E25" s="18" t="n">
        <x:v>1.23551032</x:v>
      </x:c>
      <x:c r="F25" s="8" t="n">
        <x:v>1</x:v>
      </x:c>
      <x:c r="G25" s="8" t="n">
        <x:v>0</x:v>
      </x:c>
      <x:c r="H25" s="8" t="n">
        <x:v>0</x:v>
      </x:c>
      <x:c r="I25" s="8" t="n">
        <x:v>0</x:v>
      </x:c>
      <x:c r="J25" s="8" t="n">
        <x:v>0</x:v>
      </x:c>
      <x:c r="K25" s="8" t="n">
        <x:v>0</x:v>
      </x:c>
      <x:c r="L25" s="24" t="n">
        <x:f>F25*'Service inputs'!B66*'Service inputs'!C66</x:f>
        <x:v>78</x:v>
      </x:c>
      <x:c r="M25" s="24" t="n">
        <x:f>F25*E25*'Service inputs'!D66</x:f>
        <x:v>0.0061775516</x:v>
      </x:c>
      <x:c r="N25" s="24" t="n">
        <x:f>F25*E25*'Service inputs'!E66</x:f>
        <x:v>0</x:v>
      </x:c>
      <x:c r="O25" s="24" t="n">
        <x:f>F25*E25*'Service inputs'!F66</x:f>
        <x:v>1.2231552168</x:v>
      </x:c>
      <x:c r="P25" s="24" t="n">
        <x:f>L25+F25*G25*'Service inputs'!$B$17*'Service inputs'!$B$18*'Service inputs'!$B$19+M25*('Service inputs'!$B$20*'Service inputs'!$B$21+'Service inputs'!$B$22)+N25*'Service inputs'!$B$23+F25*(H25*'Service inputs'!$B$28*'Service inputs'!$B$29+I25*'Service inputs'!$B$24*'Service inputs'!$B$25+J25*'Service inputs'!$B$26*'Service inputs'!$B$27+K25*'Service inputs'!$B$30*'Service inputs'!$B$31)</x:f>
        <x:v>78.1420836868</x:v>
      </x:c>
      <x:c r="Q25" s="24" t="n">
        <x:f>O25/SUM($O$5:$O$320)*SUMIF(Workload!$A$5:$A$40,"Ecology",Workload!$G$5:$G$40)</x:f>
        <x:v>12.840327222750002</x:v>
      </x:c>
      <x:c r="R25" s="25" t="n">
        <x:f>P25/SUMIF(Workload!$A$5:$A$40,"Grounds",Workload!$G$5:$G$40)*Staffing!$J$5+Q25/SUMIF(Workload!$A$5:$A$40,"Ecology",Workload!$G$5:$G$40)*Staffing!$J$7</x:f>
        <x:v>9427.942966528104</x:v>
      </x:c>
      <x:c r="S25" s="8" t="n">
        <x:v>0</x:v>
      </x:c>
      <x:c r="T25" s="22" t="n">
        <x:v>0</x:v>
      </x:c>
      <x:c r="U25" s="8" t="n">
        <x:v>0</x:v>
      </x:c>
      <x:c r="V25" s="8" t="n">
        <x:v>0</x:v>
      </x:c>
      <x:c r="W25" s="8" t="str">
        <x:v>https://parks.portlandciviclab.org/parks/bridgeton-slough-natural-area-1421</x:v>
      </x:c>
    </x:row>
    <x:row r="26" ht="23" customHeight="1">
      <x:c r="A26" s="7" t="str">
        <x:v>67</x:v>
      </x:c>
      <x:c r="B26" s="7" t="str">
        <x:v>Brooklyn Park</x:v>
      </x:c>
      <x:c r="C26" s="7" t="str">
        <x:v>developed-park</x:v>
      </x:c>
      <x:c r="D26" s="7" t="str">
        <x:v>District 3</x:v>
      </x:c>
      <x:c r="E26" s="19" t="n">
        <x:v>2.39395533</x:v>
      </x:c>
      <x:c r="F26" s="7" t="n">
        <x:v>1</x:v>
      </x:c>
      <x:c r="G26" s="7" t="n">
        <x:v>1</x:v>
      </x:c>
      <x:c r="H26" s="7" t="n">
        <x:v>1</x:v>
      </x:c>
      <x:c r="I26" s="7" t="n">
        <x:v>1</x:v>
      </x:c>
      <x:c r="J26" s="7" t="n">
        <x:v>1</x:v>
      </x:c>
      <x:c r="K26" s="7" t="n">
        <x:v>0</x:v>
      </x:c>
      <x:c r="L26" s="26" t="n">
        <x:f>F26*'Service inputs'!B65*'Service inputs'!C65</x:f>
        <x:v>547.5</x:v>
      </x:c>
      <x:c r="M26" s="26" t="n">
        <x:f>F26*E26*'Service inputs'!D65</x:f>
        <x:v>1.3166754315</x:v>
      </x:c>
      <x:c r="N26" s="26" t="n">
        <x:f>F26*E26*'Service inputs'!E65</x:f>
        <x:v>0.1196977665</x:v>
      </x:c>
      <x:c r="O26" s="26" t="n">
        <x:f>F26*E26*'Service inputs'!F65</x:f>
        <x:v>0.5984888325</x:v>
      </x:c>
      <x:c r="P26" s="26" t="n">
        <x:f>L26+F26*G26*'Service inputs'!$B$17*'Service inputs'!$B$18*'Service inputs'!$B$19+M26*('Service inputs'!$B$20*'Service inputs'!$B$21+'Service inputs'!$B$22)+N26*'Service inputs'!$B$23+F26*(H26*'Service inputs'!$B$28*'Service inputs'!$B$29+I26*'Service inputs'!$B$24*'Service inputs'!$B$25+J26*'Service inputs'!$B$26*'Service inputs'!$B$27+K26*'Service inputs'!$B$30*'Service inputs'!$B$31)</x:f>
        <x:v>1075.8972669045002</x:v>
      </x:c>
      <x:c r="Q26" s="26" t="n">
        <x:f>O26/SUM($O$5:$O$320)*SUMIF(Workload!$A$5:$A$40,"Ecology",Workload!$G$5:$G$40)</x:f>
        <x:v>6.282761454074858</x:v>
      </x:c>
      <x:c r="R26" s="27" t="n">
        <x:f>P26/SUMIF(Workload!$A$5:$A$40,"Grounds",Workload!$G$5:$G$40)*Staffing!$J$5+Q26/SUMIF(Workload!$A$5:$A$40,"Ecology",Workload!$G$5:$G$40)*Staffing!$J$7</x:f>
        <x:v>110074.71816420111</x:v>
      </x:c>
      <x:c r="S26" s="7" t="n">
        <x:v>65</x:v>
      </x:c>
      <x:c r="T26" s="23" t="n">
        <x:v>0.2153846153846154</x:v>
      </x:c>
      <x:c r="U26" s="7" t="n">
        <x:v>5</x:v>
      </x:c>
      <x:c r="V26" s="7" t="n">
        <x:v>1</x:v>
      </x:c>
      <x:c r="W26" s="7" t="str">
        <x:v>https://parks.portlandciviclab.org/parks/brooklyn-park-67</x:v>
      </x:c>
    </x:row>
    <x:row r="27" ht="23" customHeight="1">
      <x:c r="A27" s="8" t="str">
        <x:v>68</x:v>
      </x:c>
      <x:c r="B27" s="8" t="str">
        <x:v>Brooklyn School Park</x:v>
      </x:c>
      <x:c r="C27" s="8" t="str">
        <x:v>developed-park</x:v>
      </x:c>
      <x:c r="D27" s="8" t="str">
        <x:v>District 3</x:v>
      </x:c>
      <x:c r="E27" s="18" t="n">
        <x:v>3.58837105</x:v>
      </x:c>
      <x:c r="F27" s="8" t="n">
        <x:v>1</x:v>
      </x:c>
      <x:c r="G27" s="8" t="n">
        <x:v>0</x:v>
      </x:c>
      <x:c r="H27" s="8" t="n">
        <x:v>1</x:v>
      </x:c>
      <x:c r="I27" s="8" t="n">
        <x:v>2</x:v>
      </x:c>
      <x:c r="J27" s="8" t="n">
        <x:v>2</x:v>
      </x:c>
      <x:c r="K27" s="8" t="n">
        <x:v>0</x:v>
      </x:c>
      <x:c r="L27" s="24" t="n">
        <x:f>F27*'Service inputs'!B65*'Service inputs'!C65</x:f>
        <x:v>547.5</x:v>
      </x:c>
      <x:c r="M27" s="24" t="n">
        <x:f>F27*E27*'Service inputs'!D65</x:f>
        <x:v>1.9736040775000003</x:v>
      </x:c>
      <x:c r="N27" s="24" t="n">
        <x:f>F27*E27*'Service inputs'!E65</x:f>
        <x:v>0.17941855250000002</x:v>
      </x:c>
      <x:c r="O27" s="24" t="n">
        <x:f>F27*E27*'Service inputs'!F65</x:f>
        <x:v>0.8970927625</x:v>
      </x:c>
      <x:c r="P27" s="24" t="n">
        <x:f>L27+F27*G27*'Service inputs'!$B$17*'Service inputs'!$B$18*'Service inputs'!$B$19+M27*('Service inputs'!$B$20*'Service inputs'!$B$21+'Service inputs'!$B$22)+N27*'Service inputs'!$B$23+F27*(H27*'Service inputs'!$B$28*'Service inputs'!$B$29+I27*'Service inputs'!$B$24*'Service inputs'!$B$25+J27*'Service inputs'!$B$26*'Service inputs'!$B$27+K27*'Service inputs'!$B$30*'Service inputs'!$B$31)</x:f>
        <x:v>899.4231200825</x:v>
      </x:c>
      <x:c r="Q27" s="24" t="n">
        <x:f>O27/SUM($O$5:$O$320)*SUMIF(Workload!$A$5:$A$40,"Ecology",Workload!$G$5:$G$40)</x:f>
        <x:v>9.417418543001022</x:v>
      </x:c>
      <x:c r="R27" s="25" t="n">
        <x:f>P27/SUMIF(Workload!$A$5:$A$40,"Grounds",Workload!$G$5:$G$40)*Staffing!$J$5+Q27/SUMIF(Workload!$A$5:$A$40,"Ecology",Workload!$G$5:$G$40)*Staffing!$J$7</x:f>
        <x:v>92501.75607364342</x:v>
      </x:c>
      <x:c r="S27" s="8" t="n">
        <x:v>50</x:v>
      </x:c>
      <x:c r="T27" s="22" t="n">
        <x:v>0.18</x:v>
      </x:c>
      <x:c r="U27" s="8" t="n">
        <x:v>2</x:v>
      </x:c>
      <x:c r="V27" s="8" t="n">
        <x:v>0</x:v>
      </x:c>
      <x:c r="W27" s="8" t="str">
        <x:v>https://parks.portlandciviclab.org/parks/brooklyn-school-park-68</x:v>
      </x:c>
    </x:row>
    <x:row r="28" ht="23" customHeight="1">
      <x:c r="A28" s="7" t="str">
        <x:v>1222</x:v>
      </x:c>
      <x:c r="B28" s="7" t="str">
        <x:v>Brookside</x:v>
      </x:c>
      <x:c r="C28" s="7" t="str">
        <x:v>developed-park</x:v>
      </x:c>
      <x:c r="D28" s="7" t="str">
        <x:v>District 1</x:v>
      </x:c>
      <x:c r="E28" s="19" t="n">
        <x:v>22.16337294</x:v>
      </x:c>
      <x:c r="F28" s="7" t="n">
        <x:v>1</x:v>
      </x:c>
      <x:c r="G28" s="7" t="n">
        <x:v>0</x:v>
      </x:c>
      <x:c r="H28" s="7" t="n">
        <x:v>1</x:v>
      </x:c>
      <x:c r="I28" s="7" t="n">
        <x:v>0</x:v>
      </x:c>
      <x:c r="J28" s="7" t="n">
        <x:v>0</x:v>
      </x:c>
      <x:c r="K28" s="7" t="n">
        <x:v>0</x:v>
      </x:c>
      <x:c r="L28" s="26" t="n">
        <x:f>F28*'Service inputs'!B65*'Service inputs'!C65</x:f>
        <x:v>547.5</x:v>
      </x:c>
      <x:c r="M28" s="26" t="n">
        <x:f>F28*E28*'Service inputs'!D65</x:f>
        <x:v>12.189855117</x:v>
      </x:c>
      <x:c r="N28" s="26" t="n">
        <x:f>F28*E28*'Service inputs'!E65</x:f>
        <x:v>1.108168647</x:v>
      </x:c>
      <x:c r="O28" s="26" t="n">
        <x:f>F28*E28*'Service inputs'!F65</x:f>
        <x:v>5.540843235</x:v>
      </x:c>
      <x:c r="P28" s="26" t="n">
        <x:f>L28+F28*G28*'Service inputs'!$B$17*'Service inputs'!$B$18*'Service inputs'!$B$19+M28*('Service inputs'!$B$20*'Service inputs'!$B$21+'Service inputs'!$B$22)+N28*'Service inputs'!$B$23+F28*(H28*'Service inputs'!$B$28*'Service inputs'!$B$29+I28*'Service inputs'!$B$24*'Service inputs'!$B$25+J28*'Service inputs'!$B$26*'Service inputs'!$B$27+K28*'Service inputs'!$B$30*'Service inputs'!$B$31)</x:f>
        <x:v>999.846905331</x:v>
      </x:c>
      <x:c r="Q28" s="26" t="n">
        <x:f>O28/SUM($O$5:$O$320)*SUMIF(Workload!$A$5:$A$40,"Ecology",Workload!$G$5:$G$40)</x:f>
        <x:v>58.16615851379222</x:v>
      </x:c>
      <x:c r="R28" s="27" t="n">
        <x:f>P28/SUMIF(Workload!$A$5:$A$40,"Grounds",Workload!$G$5:$G$40)*Staffing!$J$5+Q28/SUMIF(Workload!$A$5:$A$40,"Ecology",Workload!$G$5:$G$40)*Staffing!$J$7</x:f>
        <x:v>108350.0961576947</x:v>
      </x:c>
      <x:c r="S28" s="7" t="n">
        <x:v>1</x:v>
      </x:c>
      <x:c r="T28" s="23" t="n">
        <x:v>1</x:v>
      </x:c>
      <x:c r="U28" s="7" t="n">
        <x:v>0</x:v>
      </x:c>
      <x:c r="V28" s="7" t="n">
        <x:v>0</x:v>
      </x:c>
      <x:c r="W28" s="7" t="str">
        <x:v>https://parks.portlandciviclab.org/parks/brookside-1222</x:v>
      </x:c>
    </x:row>
    <x:row r="29" ht="23" customHeight="1">
      <x:c r="A29" s="8" t="str">
        <x:v>89</x:v>
      </x:c>
      <x:c r="B29" s="8" t="str">
        <x:v>Buckman Community Garden</x:v>
      </x:c>
      <x:c r="C29" s="8" t="str">
        <x:v>community-garden</x:v>
      </x:c>
      <x:c r="D29" s="8" t="str">
        <x:v>District 3</x:v>
      </x:c>
      <x:c r="E29" s="18" t="n">
        <x:v>0.15972096</x:v>
      </x:c>
      <x:c r="F29" s="8" t="n">
        <x:v>1</x:v>
      </x:c>
      <x:c r="G29" s="8" t="n">
        <x:v>0</x:v>
      </x:c>
      <x:c r="H29" s="8" t="n">
        <x:v>0</x:v>
      </x:c>
      <x:c r="I29" s="8" t="n">
        <x:v>0</x:v>
      </x:c>
      <x:c r="J29" s="8" t="n">
        <x:v>0</x:v>
      </x:c>
      <x:c r="K29" s="8" t="n">
        <x:v>0</x:v>
      </x:c>
      <x:c r="L29" s="24" t="n">
        <x:f>F29*'Service inputs'!B67*'Service inputs'!C67</x:f>
        <x:v>52</x:v>
      </x:c>
      <x:c r="M29" s="24" t="n">
        <x:f>F29*E29*'Service inputs'!D67</x:f>
        <x:v>0.007986048</x:v>
      </x:c>
      <x:c r="N29" s="24" t="n">
        <x:f>F29*E29*'Service inputs'!E67</x:f>
        <x:v>0.015972096</x:v>
      </x:c>
      <x:c r="O29" s="24" t="n">
        <x:f>F29*E29*'Service inputs'!F67</x:f>
        <x:v>0</x:v>
      </x:c>
      <x:c r="P29" s="24" t="n">
        <x:f>L29+F29*G29*'Service inputs'!$B$17*'Service inputs'!$B$18*'Service inputs'!$B$19+M29*('Service inputs'!$B$20*'Service inputs'!$B$21+'Service inputs'!$B$22)+N29*'Service inputs'!$B$23+F29*(H29*'Service inputs'!$B$28*'Service inputs'!$B$29+I29*'Service inputs'!$B$24*'Service inputs'!$B$25+J29*'Service inputs'!$B$26*'Service inputs'!$B$27+K29*'Service inputs'!$B$30*'Service inputs'!$B$31)</x:f>
        <x:v>54.100330624</x:v>
      </x:c>
      <x:c r="Q29" s="24" t="n">
        <x:f>O29/SUM($O$5:$O$320)*SUMIF(Workload!$A$5:$A$40,"Ecology",Workload!$G$5:$G$40)</x:f>
        <x:v>0</x:v>
      </x:c>
      <x:c r="R29" s="25" t="n">
        <x:f>P29/SUMIF(Workload!$A$5:$A$40,"Grounds",Workload!$G$5:$G$40)*Staffing!$J$5+Q29/SUMIF(Workload!$A$5:$A$40,"Ecology",Workload!$G$5:$G$40)*Staffing!$J$7</x:f>
        <x:v>5498.425291406058</x:v>
      </x:c>
      <x:c r="S29" s="8" t="n">
        <x:v>1</x:v>
      </x:c>
      <x:c r="T29" s="22" t="n">
        <x:v>1</x:v>
      </x:c>
      <x:c r="U29" s="8" t="n">
        <x:v>0</x:v>
      </x:c>
      <x:c r="V29" s="8" t="n">
        <x:v>0</x:v>
      </x:c>
      <x:c r="W29" s="8" t="str">
        <x:v>https://parks.portlandciviclab.org/parks/buckman-community-garden-89</x:v>
      </x:c>
    </x:row>
    <x:row r="30" ht="23" customHeight="1">
      <x:c r="A30" s="7" t="str">
        <x:v>90</x:v>
      </x:c>
      <x:c r="B30" s="7" t="str">
        <x:v>Buckman Field</x:v>
      </x:c>
      <x:c r="C30" s="7" t="str">
        <x:v>developed-park</x:v>
      </x:c>
      <x:c r="D30" s="7" t="str">
        <x:v>District 3</x:v>
      </x:c>
      <x:c r="E30" s="19" t="n">
        <x:v>11.47704821</x:v>
      </x:c>
      <x:c r="F30" s="7" t="n">
        <x:v>1</x:v>
      </x:c>
      <x:c r="G30" s="7" t="n">
        <x:v>0</x:v>
      </x:c>
      <x:c r="H30" s="7" t="n">
        <x:v>1</x:v>
      </x:c>
      <x:c r="I30" s="7" t="n">
        <x:v>5</x:v>
      </x:c>
      <x:c r="J30" s="7" t="n">
        <x:v>12</x:v>
      </x:c>
      <x:c r="K30" s="7" t="n">
        <x:v>0</x:v>
      </x:c>
      <x:c r="L30" s="26" t="n">
        <x:f>F30*'Service inputs'!B65*'Service inputs'!C65</x:f>
        <x:v>547.5</x:v>
      </x:c>
      <x:c r="M30" s="26" t="n">
        <x:f>F30*E30*'Service inputs'!D65</x:f>
        <x:v>6.3123765155000005</x:v>
      </x:c>
      <x:c r="N30" s="26" t="n">
        <x:f>F30*E30*'Service inputs'!E65</x:f>
        <x:v>0.5738524105</x:v>
      </x:c>
      <x:c r="O30" s="26" t="n">
        <x:f>F30*E30*'Service inputs'!F65</x:f>
        <x:v>2.8692620525</x:v>
      </x:c>
      <x:c r="P30" s="26" t="n">
        <x:f>L30+F30*G30*'Service inputs'!$B$17*'Service inputs'!$B$18*'Service inputs'!$B$19+M30*('Service inputs'!$B$20*'Service inputs'!$B$21+'Service inputs'!$B$22)+N30*'Service inputs'!$B$23+F30*(H30*'Service inputs'!$B$28*'Service inputs'!$B$29+I30*'Service inputs'!$B$24*'Service inputs'!$B$25+J30*'Service inputs'!$B$26*'Service inputs'!$B$27+K30*'Service inputs'!$B$30*'Service inputs'!$B$31)</x:f>
        <x:v>1541.5469491165</x:v>
      </x:c>
      <x:c r="Q30" s="26" t="n">
        <x:f>O30/SUM($O$5:$O$320)*SUMIF(Workload!$A$5:$A$40,"Ecology",Workload!$G$5:$G$40)</x:f>
        <x:v>30.120677356309255</x:v>
      </x:c>
      <x:c r="R30" s="27" t="n">
        <x:f>P30/SUMIF(Workload!$A$5:$A$40,"Grounds",Workload!$G$5:$G$40)*Staffing!$J$5+Q30/SUMIF(Workload!$A$5:$A$40,"Ecology",Workload!$G$5:$G$40)*Staffing!$J$7</x:f>
        <x:v>160159.3473574877</x:v>
      </x:c>
      <x:c r="S30" s="7" t="n">
        <x:v>97</x:v>
      </x:c>
      <x:c r="T30" s="23" t="n">
        <x:v>0.12371134020618557</x:v>
      </x:c>
      <x:c r="U30" s="7" t="n">
        <x:v>4</x:v>
      </x:c>
      <x:c r="V30" s="7" t="n">
        <x:v>2</x:v>
      </x:c>
      <x:c r="W30" s="7" t="str">
        <x:v>https://parks.portlandciviclab.org/parks/buckman-field-90</x:v>
      </x:c>
    </x:row>
    <x:row r="31" ht="23" customHeight="1">
      <x:c r="A31" s="8" t="str">
        <x:v>92</x:v>
      </x:c>
      <x:c r="B31" s="8" t="str">
        <x:v>Burlingame Park</x:v>
      </x:c>
      <x:c r="C31" s="8" t="str">
        <x:v>developed-park</x:v>
      </x:c>
      <x:c r="D31" s="8" t="str">
        <x:v>District 4</x:v>
      </x:c>
      <x:c r="E31" s="18" t="n">
        <x:v>4.66853319</x:v>
      </x:c>
      <x:c r="F31" s="8" t="n">
        <x:v>1</x:v>
      </x:c>
      <x:c r="G31" s="8" t="n">
        <x:v>0</x:v>
      </x:c>
      <x:c r="H31" s="8" t="n">
        <x:v>1</x:v>
      </x:c>
      <x:c r="I31" s="8" t="n">
        <x:v>2</x:v>
      </x:c>
      <x:c r="J31" s="8" t="n">
        <x:v>1</x:v>
      </x:c>
      <x:c r="K31" s="8" t="n">
        <x:v>0</x:v>
      </x:c>
      <x:c r="L31" s="24" t="n">
        <x:f>F31*'Service inputs'!B65*'Service inputs'!C65</x:f>
        <x:v>547.5</x:v>
      </x:c>
      <x:c r="M31" s="24" t="n">
        <x:f>F31*E31*'Service inputs'!D65</x:f>
        <x:v>2.5676932545</x:v>
      </x:c>
      <x:c r="N31" s="24" t="n">
        <x:f>F31*E31*'Service inputs'!E65</x:f>
        <x:v>0.2334266595</x:v>
      </x:c>
      <x:c r="O31" s="24" t="n">
        <x:f>F31*E31*'Service inputs'!F65</x:f>
        <x:v>1.1671332975</x:v>
      </x:c>
      <x:c r="P31" s="24" t="n">
        <x:f>L31+F31*G31*'Service inputs'!$B$17*'Service inputs'!$B$18*'Service inputs'!$B$19+M31*('Service inputs'!$B$20*'Service inputs'!$B$21+'Service inputs'!$B$22)+N31*'Service inputs'!$B$23+F31*(H31*'Service inputs'!$B$28*'Service inputs'!$B$29+I31*'Service inputs'!$B$24*'Service inputs'!$B$25+J31*'Service inputs'!$B$26*'Service inputs'!$B$27+K31*'Service inputs'!$B$30*'Service inputs'!$B$31)</x:f>
        <x:v>901.5681439935</x:v>
      </x:c>
      <x:c r="Q31" s="24" t="n">
        <x:f>O31/SUM($O$5:$O$320)*SUMIF(Workload!$A$5:$A$40,"Ecology",Workload!$G$5:$G$40)</x:f>
        <x:v>12.252225430288684</x:v>
      </x:c>
      <x:c r="R31" s="25" t="n">
        <x:f>P31/SUMIF(Workload!$A$5:$A$40,"Grounds",Workload!$G$5:$G$40)*Staffing!$J$5+Q31/SUMIF(Workload!$A$5:$A$40,"Ecology",Workload!$G$5:$G$40)*Staffing!$J$7</x:f>
        <x:v>93047.84647857654</x:v>
      </x:c>
      <x:c r="S31" s="8" t="n">
        <x:v>61</x:v>
      </x:c>
      <x:c r="T31" s="22" t="n">
        <x:v>0.19672131147540983</x:v>
      </x:c>
      <x:c r="U31" s="8" t="n">
        <x:v>4</x:v>
      </x:c>
      <x:c r="V31" s="8" t="n">
        <x:v>0</x:v>
      </x:c>
      <x:c r="W31" s="8" t="str">
        <x:v>https://parks.portlandciviclab.org/parks/burlingame-park-92</x:v>
      </x:c>
    </x:row>
    <x:row r="32" ht="23" customHeight="1">
      <x:c r="A32" s="7" t="str">
        <x:v>1386</x:v>
      </x:c>
      <x:c r="B32" s="7" t="str">
        <x:v>Buttes Natural Area</x:v>
      </x:c>
      <x:c r="C32" s="7" t="str">
        <x:v>natural-area</x:v>
      </x:c>
      <x:c r="D32" s="7" t="str">
        <x:v>District 1</x:v>
      </x:c>
      <x:c r="E32" s="19" t="n">
        <x:v>152.1031183</x:v>
      </x:c>
      <x:c r="F32" s="7" t="n">
        <x:v>1</x:v>
      </x:c>
      <x:c r="G32" s="7" t="n">
        <x:v>0</x:v>
      </x:c>
      <x:c r="H32" s="7" t="n">
        <x:v>0</x:v>
      </x:c>
      <x:c r="I32" s="7" t="n">
        <x:v>0</x:v>
      </x:c>
      <x:c r="J32" s="7" t="n">
        <x:v>0</x:v>
      </x:c>
      <x:c r="K32" s="7" t="n">
        <x:v>0</x:v>
      </x:c>
      <x:c r="L32" s="26" t="n">
        <x:f>F32*'Service inputs'!B66*'Service inputs'!C66</x:f>
        <x:v>78</x:v>
      </x:c>
      <x:c r="M32" s="26" t="n">
        <x:f>F32*E32*'Service inputs'!D66</x:f>
        <x:v>0.7605155915</x:v>
      </x:c>
      <x:c r="N32" s="26" t="n">
        <x:f>F32*E32*'Service inputs'!E66</x:f>
        <x:v>0</x:v>
      </x:c>
      <x:c r="O32" s="26" t="n">
        <x:f>F32*E32*'Service inputs'!F66</x:f>
        <x:v>150.58208711700001</x:v>
      </x:c>
      <x:c r="P32" s="26" t="n">
        <x:f>L32+F32*G32*'Service inputs'!$B$17*'Service inputs'!$B$18*'Service inputs'!$B$19+M32*('Service inputs'!$B$20*'Service inputs'!$B$21+'Service inputs'!$B$22)+N32*'Service inputs'!$B$23+F32*(H32*'Service inputs'!$B$28*'Service inputs'!$B$29+I32*'Service inputs'!$B$24*'Service inputs'!$B$25+J32*'Service inputs'!$B$26*'Service inputs'!$B$27+K32*'Service inputs'!$B$30*'Service inputs'!$B$31)</x:f>
        <x:v>95.4918586045</x:v>
      </x:c>
      <x:c r="Q32" s="26" t="n">
        <x:f>O32/SUM($O$5:$O$320)*SUMIF(Workload!$A$5:$A$40,"Ecology",Workload!$G$5:$G$40)</x:f>
        <x:v>1580.7668936125556</x:v>
      </x:c>
      <x:c r="R32" s="27" t="n">
        <x:f>P32/SUMIF(Workload!$A$5:$A$40,"Grounds",Workload!$G$5:$G$40)*Staffing!$J$5+Q32/SUMIF(Workload!$A$5:$A$40,"Ecology",Workload!$G$5:$G$40)*Staffing!$J$7</x:f>
        <x:v>192653.57578063762</x:v>
      </x:c>
      <x:c r="S32" s="7" t="n">
        <x:v>0</x:v>
      </x:c>
      <x:c r="T32" s="23" t="n">
        <x:v>0</x:v>
      </x:c>
      <x:c r="U32" s="7" t="n">
        <x:v>0</x:v>
      </x:c>
      <x:c r="V32" s="7" t="n">
        <x:v>0</x:v>
      </x:c>
      <x:c r="W32" s="7" t="str">
        <x:v>https://parks.portlandciviclab.org/parks/buttes-natural-area-1386</x:v>
      </x:c>
    </x:row>
    <x:row r="33" ht="23" customHeight="1">
      <x:c r="A33" s="8" t="str">
        <x:v>97</x:v>
      </x:c>
      <x:c r="B33" s="8" t="str">
        <x:v>Cathedral Park</x:v>
      </x:c>
      <x:c r="C33" s="8" t="str">
        <x:v>developed-park</x:v>
      </x:c>
      <x:c r="D33" s="8" t="str">
        <x:v>District 2</x:v>
      </x:c>
      <x:c r="E33" s="18" t="n">
        <x:v>21.85153978</x:v>
      </x:c>
      <x:c r="F33" s="8" t="n">
        <x:v>1</x:v>
      </x:c>
      <x:c r="G33" s="8" t="n">
        <x:v>1</x:v>
      </x:c>
      <x:c r="H33" s="8" t="n">
        <x:v>0</x:v>
      </x:c>
      <x:c r="I33" s="8" t="n">
        <x:v>0</x:v>
      </x:c>
      <x:c r="J33" s="8" t="n">
        <x:v>0</x:v>
      </x:c>
      <x:c r="K33" s="8" t="n">
        <x:v>0</x:v>
      </x:c>
      <x:c r="L33" s="24" t="n">
        <x:f>F33*'Service inputs'!B65*'Service inputs'!C65</x:f>
        <x:v>547.5</x:v>
      </x:c>
      <x:c r="M33" s="24" t="n">
        <x:f>F33*E33*'Service inputs'!D65</x:f>
        <x:v>12.018346879000001</x:v>
      </x:c>
      <x:c r="N33" s="24" t="n">
        <x:f>F33*E33*'Service inputs'!E65</x:f>
        <x:v>1.092576989</x:v>
      </x:c>
      <x:c r="O33" s="24" t="n">
        <x:f>F33*E33*'Service inputs'!F65</x:f>
        <x:v>5.462884945</x:v>
      </x:c>
      <x:c r="P33" s="24" t="n">
        <x:f>L33+F33*G33*'Service inputs'!$B$17*'Service inputs'!$B$18*'Service inputs'!$B$19+M33*('Service inputs'!$B$20*'Service inputs'!$B$21+'Service inputs'!$B$22)+N33*'Service inputs'!$B$23+F33*(H33*'Service inputs'!$B$28*'Service inputs'!$B$29+I33*'Service inputs'!$B$24*'Service inputs'!$B$25+J33*'Service inputs'!$B$26*'Service inputs'!$B$27+K33*'Service inputs'!$B$30*'Service inputs'!$B$31)</x:f>
        <x:v>1276.7812168970001</x:v>
      </x:c>
      <x:c r="Q33" s="24" t="n">
        <x:f>O33/SUM($O$5:$O$320)*SUMIF(Workload!$A$5:$A$40,"Ecology",Workload!$G$5:$G$40)</x:f>
        <x:v>57.347775090677</x:v>
      </x:c>
      <x:c r="R33" s="25" t="n">
        <x:f>P33/SUMIF(Workload!$A$5:$A$40,"Grounds",Workload!$G$5:$G$40)*Staffing!$J$5+Q33/SUMIF(Workload!$A$5:$A$40,"Ecology",Workload!$G$5:$G$40)*Staffing!$J$7</x:f>
        <x:v>136401.28377404102</x:v>
      </x:c>
      <x:c r="S33" s="8" t="n">
        <x:v>138</x:v>
      </x:c>
      <x:c r="T33" s="22" t="n">
        <x:v>0.18115942028985507</x:v>
      </x:c>
      <x:c r="U33" s="8" t="n">
        <x:v>5</x:v>
      </x:c>
      <x:c r="V33" s="8" t="n">
        <x:v>0</x:v>
      </x:c>
      <x:c r="W33" s="8" t="str">
        <x:v>https://parks.portlandciviclab.org/parks/cathedral-park-97</x:v>
      </x:c>
    </x:row>
    <x:row r="34" ht="23" customHeight="1">
      <x:c r="A34" s="7" t="str">
        <x:v>1462</x:v>
      </x:c>
      <x:c r="B34" s="7" t="str">
        <x:v>Catkin Marsh Natural Area</x:v>
      </x:c>
      <x:c r="C34" s="7" t="str">
        <x:v>natural-area</x:v>
      </x:c>
      <x:c r="D34" s="7" t="str">
        <x:v>District 2</x:v>
      </x:c>
      <x:c r="E34" s="19" t="n">
        <x:v>54.90875652</x:v>
      </x:c>
      <x:c r="F34" s="7" t="n">
        <x:v>1</x:v>
      </x:c>
      <x:c r="G34" s="7" t="n">
        <x:v>0</x:v>
      </x:c>
      <x:c r="H34" s="7" t="n">
        <x:v>0</x:v>
      </x:c>
      <x:c r="I34" s="7" t="n">
        <x:v>0</x:v>
      </x:c>
      <x:c r="J34" s="7" t="n">
        <x:v>0</x:v>
      </x:c>
      <x:c r="K34" s="7" t="n">
        <x:v>0</x:v>
      </x:c>
      <x:c r="L34" s="26" t="n">
        <x:f>F34*'Service inputs'!B66*'Service inputs'!C66</x:f>
        <x:v>78</x:v>
      </x:c>
      <x:c r="M34" s="26" t="n">
        <x:f>F34*E34*'Service inputs'!D66</x:f>
        <x:v>0.2745437826</x:v>
      </x:c>
      <x:c r="N34" s="26" t="n">
        <x:f>F34*E34*'Service inputs'!E66</x:f>
        <x:v>0</x:v>
      </x:c>
      <x:c r="O34" s="26" t="n">
        <x:f>F34*E34*'Service inputs'!F66</x:f>
        <x:v>54.3596689548</x:v>
      </x:c>
      <x:c r="P34" s="26" t="n">
        <x:f>L34+F34*G34*'Service inputs'!$B$17*'Service inputs'!$B$18*'Service inputs'!$B$19+M34*('Service inputs'!$B$20*'Service inputs'!$B$21+'Service inputs'!$B$22)+N34*'Service inputs'!$B$23+F34*(H34*'Service inputs'!$B$28*'Service inputs'!$B$29+I34*'Service inputs'!$B$24*'Service inputs'!$B$25+J34*'Service inputs'!$B$26*'Service inputs'!$B$27+K34*'Service inputs'!$B$30*'Service inputs'!$B$31)</x:f>
        <x:v>84.3145069998</x:v>
      </x:c>
      <x:c r="Q34" s="26" t="n">
        <x:f>O34/SUM($O$5:$O$320)*SUMIF(Workload!$A$5:$A$40,"Ecology",Workload!$G$5:$G$40)</x:f>
        <x:v>570.6519724668166</x:v>
      </x:c>
      <x:c r="R34" s="27" t="n">
        <x:f>P34/SUMIF(Workload!$A$5:$A$40,"Grounds",Workload!$G$5:$G$40)*Staffing!$J$5+Q34/SUMIF(Workload!$A$5:$A$40,"Ecology",Workload!$G$5:$G$40)*Staffing!$J$7</x:f>
        <x:v>74613.00576334927</x:v>
      </x:c>
      <x:c r="S34" s="7" t="n">
        <x:v>0</x:v>
      </x:c>
      <x:c r="T34" s="23" t="n">
        <x:v>0</x:v>
      </x:c>
      <x:c r="U34" s="7" t="n">
        <x:v>0</x:v>
      </x:c>
      <x:c r="V34" s="7" t="n">
        <x:v>0</x:v>
      </x:c>
      <x:c r="W34" s="7" t="str">
        <x:v>https://parks.portlandciviclab.org/parks/catkin-marsh-natural-area-1462</x:v>
      </x:c>
    </x:row>
    <x:row r="35" ht="23" customHeight="1">
      <x:c r="A35" s="8" t="str">
        <x:v>1465</x:v>
      </x:c>
      <x:c r="B35" s="8" t="str">
        <x:v>Centennial Park Community Garden</x:v>
      </x:c>
      <x:c r="C35" s="8" t="str">
        <x:v>community-garden</x:v>
      </x:c>
      <x:c r="D35" s="8" t="str">
        <x:v>Unknown</x:v>
      </x:c>
      <x:c r="E35" s="18" t="n">
        <x:v>0.24393256</x:v>
      </x:c>
      <x:c r="F35" s="8" t="n">
        <x:v>1</x:v>
      </x:c>
      <x:c r="G35" s="8" t="n">
        <x:v>0</x:v>
      </x:c>
      <x:c r="H35" s="8" t="n">
        <x:v>0</x:v>
      </x:c>
      <x:c r="I35" s="8" t="n">
        <x:v>0</x:v>
      </x:c>
      <x:c r="J35" s="8" t="n">
        <x:v>0</x:v>
      </x:c>
      <x:c r="K35" s="8" t="n">
        <x:v>0</x:v>
      </x:c>
      <x:c r="L35" s="24" t="n">
        <x:f>F35*'Service inputs'!B67*'Service inputs'!C67</x:f>
        <x:v>52</x:v>
      </x:c>
      <x:c r="M35" s="24" t="n">
        <x:f>F35*E35*'Service inputs'!D67</x:f>
        <x:v>0.012196628000000001</x:v>
      </x:c>
      <x:c r="N35" s="24" t="n">
        <x:f>F35*E35*'Service inputs'!E67</x:f>
        <x:v>0.024393256000000002</x:v>
      </x:c>
      <x:c r="O35" s="24" t="n">
        <x:f>F35*E35*'Service inputs'!F67</x:f>
        <x:v>0</x:v>
      </x:c>
      <x:c r="P35" s="24" t="n">
        <x:f>L35+F35*G35*'Service inputs'!$B$17*'Service inputs'!$B$18*'Service inputs'!$B$19+M35*('Service inputs'!$B$20*'Service inputs'!$B$21+'Service inputs'!$B$22)+N35*'Service inputs'!$B$23+F35*(H35*'Service inputs'!$B$28*'Service inputs'!$B$29+I35*'Service inputs'!$B$24*'Service inputs'!$B$25+J35*'Service inputs'!$B$26*'Service inputs'!$B$27+K35*'Service inputs'!$B$30*'Service inputs'!$B$31)</x:f>
        <x:v>55.207713164</x:v>
      </x:c>
      <x:c r="Q35" s="24" t="n">
        <x:f>O35/SUM($O$5:$O$320)*SUMIF(Workload!$A$5:$A$40,"Ecology",Workload!$G$5:$G$40)</x:f>
        <x:v>0</x:v>
      </x:c>
      <x:c r="R35" s="25" t="n">
        <x:f>P35/SUMIF(Workload!$A$5:$A$40,"Grounds",Workload!$G$5:$G$40)*Staffing!$J$5+Q35/SUMIF(Workload!$A$5:$A$40,"Ecology",Workload!$G$5:$G$40)*Staffing!$J$7</x:f>
        <x:v>5610.972850634769</x:v>
      </x:c>
      <x:c r="S35" s="8" t="n">
        <x:v>1</x:v>
      </x:c>
      <x:c r="T35" s="22" t="n">
        <x:v>0</x:v>
      </x:c>
      <x:c r="U35" s="8" t="n">
        <x:v>0</x:v>
      </x:c>
      <x:c r="V35" s="8" t="n">
        <x:v>0</x:v>
      </x:c>
      <x:c r="W35" s="8" t="str">
        <x:v>https://parks.portlandciviclab.org/parks/centennial-park-community-garden-1465</x:v>
      </x:c>
    </x:row>
    <x:row r="36" ht="23" customHeight="1">
      <x:c r="A36" s="7" t="str">
        <x:v>1505</x:v>
      </x:c>
      <x:c r="B36" s="7" t="str">
        <x:v>Cesar Chavez Community Garden</x:v>
      </x:c>
      <x:c r="C36" s="7" t="str">
        <x:v>community-garden</x:v>
      </x:c>
      <x:c r="D36" s="7" t="str">
        <x:v>District 3</x:v>
      </x:c>
      <x:c r="E36" s="19" t="n">
        <x:v>0.25381556</x:v>
      </x:c>
      <x:c r="F36" s="7" t="n">
        <x:v>1</x:v>
      </x:c>
      <x:c r="G36" s="7" t="n">
        <x:v>0</x:v>
      </x:c>
      <x:c r="H36" s="7" t="n">
        <x:v>0</x:v>
      </x:c>
      <x:c r="I36" s="7" t="n">
        <x:v>0</x:v>
      </x:c>
      <x:c r="J36" s="7" t="n">
        <x:v>0</x:v>
      </x:c>
      <x:c r="K36" s="7" t="n">
        <x:v>0</x:v>
      </x:c>
      <x:c r="L36" s="26" t="n">
        <x:f>F36*'Service inputs'!B67*'Service inputs'!C67</x:f>
        <x:v>52</x:v>
      </x:c>
      <x:c r="M36" s="26" t="n">
        <x:f>F36*E36*'Service inputs'!D67</x:f>
        <x:v>0.012690778</x:v>
      </x:c>
      <x:c r="N36" s="26" t="n">
        <x:f>F36*E36*'Service inputs'!E67</x:f>
        <x:v>0.025381556</x:v>
      </x:c>
      <x:c r="O36" s="26" t="n">
        <x:f>F36*E36*'Service inputs'!F67</x:f>
        <x:v>0</x:v>
      </x:c>
      <x:c r="P36" s="26" t="n">
        <x:f>L36+F36*G36*'Service inputs'!$B$17*'Service inputs'!$B$18*'Service inputs'!$B$19+M36*('Service inputs'!$B$20*'Service inputs'!$B$21+'Service inputs'!$B$22)+N36*'Service inputs'!$B$23+F36*(H36*'Service inputs'!$B$28*'Service inputs'!$B$29+I36*'Service inputs'!$B$24*'Service inputs'!$B$25+J36*'Service inputs'!$B$26*'Service inputs'!$B$27+K36*'Service inputs'!$B$30*'Service inputs'!$B$31)</x:f>
        <x:v>55.337674614</x:v>
      </x:c>
      <x:c r="Q36" s="26" t="n">
        <x:f>O36/SUM($O$5:$O$320)*SUMIF(Workload!$A$5:$A$40,"Ecology",Workload!$G$5:$G$40)</x:f>
        <x:v>0</x:v>
      </x:c>
      <x:c r="R36" s="27" t="n">
        <x:f>P36/SUMIF(Workload!$A$5:$A$40,"Grounds",Workload!$G$5:$G$40)*Staffing!$J$5+Q36/SUMIF(Workload!$A$5:$A$40,"Ecology",Workload!$G$5:$G$40)*Staffing!$J$7</x:f>
        <x:v>5624.181334119911</x:v>
      </x:c>
      <x:c r="S36" s="7" t="n">
        <x:v>1</x:v>
      </x:c>
      <x:c r="T36" s="23" t="n">
        <x:v>0</x:v>
      </x:c>
      <x:c r="U36" s="7" t="n">
        <x:v>0</x:v>
      </x:c>
      <x:c r="V36" s="7" t="n">
        <x:v>0</x:v>
      </x:c>
      <x:c r="W36" s="7" t="str">
        <x:v>https://parks.portlandciviclab.org/parks/cesar-chavez-community-garden-1505</x:v>
      </x:c>
    </x:row>
    <x:row r="37" ht="23" customHeight="1">
      <x:c r="A37" s="8" t="str">
        <x:v>1</x:v>
      </x:c>
      <x:c r="B37" s="8" t="str">
        <x:v>Cherry Blossom Park</x:v>
      </x:c>
      <x:c r="C37" s="8" t="str">
        <x:v>developed-park</x:v>
      </x:c>
      <x:c r="D37" s="8" t="str">
        <x:v>District 1</x:v>
      </x:c>
      <x:c r="E37" s="18" t="n">
        <x:v>0.95590541</x:v>
      </x:c>
      <x:c r="F37" s="8" t="n">
        <x:v>1</x:v>
      </x:c>
      <x:c r="G37" s="8" t="n">
        <x:v>0</x:v>
      </x:c>
      <x:c r="H37" s="8" t="n">
        <x:v>0</x:v>
      </x:c>
      <x:c r="I37" s="8" t="n">
        <x:v>0</x:v>
      </x:c>
      <x:c r="J37" s="8" t="n">
        <x:v>0</x:v>
      </x:c>
      <x:c r="K37" s="8" t="n">
        <x:v>0</x:v>
      </x:c>
      <x:c r="L37" s="24" t="n">
        <x:f>F37*'Service inputs'!B65*'Service inputs'!C65</x:f>
        <x:v>547.5</x:v>
      </x:c>
      <x:c r="M37" s="24" t="n">
        <x:f>F37*E37*'Service inputs'!D65</x:f>
        <x:v>0.5257479755</x:v>
      </x:c>
      <x:c r="N37" s="24" t="n">
        <x:f>F37*E37*'Service inputs'!E65</x:f>
        <x:v>0.0477952705</x:v>
      </x:c>
      <x:c r="O37" s="24" t="n">
        <x:f>F37*E37*'Service inputs'!F65</x:f>
        <x:v>0.2389763525</x:v>
      </x:c>
      <x:c r="P37" s="24" t="n">
        <x:f>L37+F37*G37*'Service inputs'!$B$17*'Service inputs'!$B$18*'Service inputs'!$B$19+M37*('Service inputs'!$B$20*'Service inputs'!$B$21+'Service inputs'!$B$22)+N37*'Service inputs'!$B$23+F37*(H37*'Service inputs'!$B$28*'Service inputs'!$B$29+I37*'Service inputs'!$B$24*'Service inputs'!$B$25+J37*'Service inputs'!$B$26*'Service inputs'!$B$27+K37*'Service inputs'!$B$30*'Service inputs'!$B$31)</x:f>
        <x:v>565.3276358964999</x:v>
      </x:c>
      <x:c r="Q37" s="24" t="n">
        <x:f>O37/SUM($O$5:$O$320)*SUMIF(Workload!$A$5:$A$40,"Ecology",Workload!$G$5:$G$40)</x:f>
        <x:v>2.5087041468270104</x:v>
      </x:c>
      <x:c r="R37" s="25" t="n">
        <x:f>P37/SUMIF(Workload!$A$5:$A$40,"Grounds",Workload!$G$5:$G$40)*Staffing!$J$5+Q37/SUMIF(Workload!$A$5:$A$40,"Ecology",Workload!$G$5:$G$40)*Staffing!$J$7</x:f>
        <x:v>57746.770565054736</x:v>
      </x:c>
      <x:c r="S37" s="8" t="n">
        <x:v>18</x:v>
      </x:c>
      <x:c r="T37" s="22" t="n">
        <x:v>0.3888888888888889</x:v>
      </x:c>
      <x:c r="U37" s="8" t="n">
        <x:v>0</x:v>
      </x:c>
      <x:c r="V37" s="8" t="n">
        <x:v>0</x:v>
      </x:c>
      <x:c r="W37" s="8" t="str">
        <x:v>https://parks.portlandciviclab.org/parks/cherry-blossom-park-1</x:v>
      </x:c>
    </x:row>
    <x:row r="38" ht="23" customHeight="1">
      <x:c r="A38" s="7" t="str">
        <x:v>2</x:v>
      </x:c>
      <x:c r="B38" s="7" t="str">
        <x:v>Cherry Park</x:v>
      </x:c>
      <x:c r="C38" s="7" t="str">
        <x:v>developed-park</x:v>
      </x:c>
      <x:c r="D38" s="7" t="str">
        <x:v>District 1</x:v>
      </x:c>
      <x:c r="E38" s="19" t="n">
        <x:v>10.22776377</x:v>
      </x:c>
      <x:c r="F38" s="7" t="n">
        <x:v>1</x:v>
      </x:c>
      <x:c r="G38" s="7" t="n">
        <x:v>0</x:v>
      </x:c>
      <x:c r="H38" s="7" t="n">
        <x:v>0</x:v>
      </x:c>
      <x:c r="I38" s="7" t="n">
        <x:v>0</x:v>
      </x:c>
      <x:c r="J38" s="7" t="n">
        <x:v>0</x:v>
      </x:c>
      <x:c r="K38" s="7" t="n">
        <x:v>0</x:v>
      </x:c>
      <x:c r="L38" s="26" t="n">
        <x:f>F38*'Service inputs'!B65*'Service inputs'!C65</x:f>
        <x:v>547.5</x:v>
      </x:c>
      <x:c r="M38" s="26" t="n">
        <x:f>F38*E38*'Service inputs'!D65</x:f>
        <x:v>5.6252700735</x:v>
      </x:c>
      <x:c r="N38" s="26" t="n">
        <x:f>F38*E38*'Service inputs'!E65</x:f>
        <x:v>0.5113881885</x:v>
      </x:c>
      <x:c r="O38" s="26" t="n">
        <x:f>F38*E38*'Service inputs'!F65</x:f>
        <x:v>2.5569409425</x:v>
      </x:c>
      <x:c r="P38" s="26" t="n">
        <x:f>L38+F38*G38*'Service inputs'!$B$17*'Service inputs'!$B$18*'Service inputs'!$B$19+M38*('Service inputs'!$B$20*'Service inputs'!$B$21+'Service inputs'!$B$22)+N38*'Service inputs'!$B$23+F38*(H38*'Service inputs'!$B$28*'Service inputs'!$B$29+I38*'Service inputs'!$B$24*'Service inputs'!$B$25+J38*'Service inputs'!$B$26*'Service inputs'!$B$27+K38*'Service inputs'!$B$30*'Service inputs'!$B$31)</x:f>
        <x:v>738.2477943105</x:v>
      </x:c>
      <x:c r="Q38" s="26" t="n">
        <x:f>O38/SUM($O$5:$O$320)*SUMIF(Workload!$A$5:$A$40,"Ecology",Workload!$G$5:$G$40)</x:f>
        <x:v>26.842021306863465</x:v>
      </x:c>
      <x:c r="R38" s="27" t="n">
        <x:f>P38/SUMIF(Workload!$A$5:$A$40,"Grounds",Workload!$G$5:$G$40)*Staffing!$J$5+Q38/SUMIF(Workload!$A$5:$A$40,"Ecology",Workload!$G$5:$G$40)*Staffing!$J$7</x:f>
        <x:v>78137.50379709413</x:v>
      </x:c>
      <x:c r="S38" s="7" t="n">
        <x:v>10</x:v>
      </x:c>
      <x:c r="T38" s="23" t="n">
        <x:v>0</x:v>
      </x:c>
      <x:c r="U38" s="7" t="n">
        <x:v>0</x:v>
      </x:c>
      <x:c r="V38" s="7" t="n">
        <x:v>0</x:v>
      </x:c>
      <x:c r="W38" s="7" t="str">
        <x:v>https://parks.portlandciviclab.org/parks/cherry-park-2</x:v>
      </x:c>
    </x:row>
    <x:row r="39" ht="23" customHeight="1">
      <x:c r="A39" s="8" t="str">
        <x:v>5</x:v>
      </x:c>
      <x:c r="B39" s="8" t="str">
        <x:v>Chimney Park</x:v>
      </x:c>
      <x:c r="C39" s="8" t="str">
        <x:v>developed-park</x:v>
      </x:c>
      <x:c r="D39" s="8" t="str">
        <x:v>District 2</x:v>
      </x:c>
      <x:c r="E39" s="18" t="n">
        <x:v>18.38545359</x:v>
      </x:c>
      <x:c r="F39" s="8" t="n">
        <x:v>1</x:v>
      </x:c>
      <x:c r="G39" s="8" t="n">
        <x:v>0</x:v>
      </x:c>
      <x:c r="H39" s="8" t="n">
        <x:v>0</x:v>
      </x:c>
      <x:c r="I39" s="8" t="n">
        <x:v>0</x:v>
      </x:c>
      <x:c r="J39" s="8" t="n">
        <x:v>0</x:v>
      </x:c>
      <x:c r="K39" s="8" t="n">
        <x:v>0</x:v>
      </x:c>
      <x:c r="L39" s="24" t="n">
        <x:f>F39*'Service inputs'!B65*'Service inputs'!C65</x:f>
        <x:v>547.5</x:v>
      </x:c>
      <x:c r="M39" s="24" t="n">
        <x:f>F39*E39*'Service inputs'!D65</x:f>
        <x:v>10.111999474500001</x:v>
      </x:c>
      <x:c r="N39" s="24" t="n">
        <x:f>F39*E39*'Service inputs'!E65</x:f>
        <x:v>0.9192726795000001</x:v>
      </x:c>
      <x:c r="O39" s="24" t="n">
        <x:f>F39*E39*'Service inputs'!F65</x:f>
        <x:v>4.5963633975</x:v>
      </x:c>
      <x:c r="P39" s="24" t="n">
        <x:f>L39+F39*G39*'Service inputs'!$B$17*'Service inputs'!$B$18*'Service inputs'!$B$19+M39*('Service inputs'!$B$20*'Service inputs'!$B$21+'Service inputs'!$B$22)+N39*'Service inputs'!$B$23+F39*(H39*'Service inputs'!$B$28*'Service inputs'!$B$29+I39*'Service inputs'!$B$24*'Service inputs'!$B$25+J39*'Service inputs'!$B$26*'Service inputs'!$B$27+K39*'Service inputs'!$B$30*'Service inputs'!$B$31)</x:f>
        <x:v>890.3887094535</x:v>
      </x:c>
      <x:c r="Q39" s="24" t="n">
        <x:f>O39/SUM($O$5:$O$320)*SUMIF(Workload!$A$5:$A$40,"Ecology",Workload!$G$5:$G$40)</x:f>
        <x:v>48.25128425889811</x:v>
      </x:c>
      <x:c r="R39" s="25" t="n">
        <x:f>P39/SUMIF(Workload!$A$5:$A$40,"Grounds",Workload!$G$5:$G$40)*Staffing!$J$5+Q39/SUMIF(Workload!$A$5:$A$40,"Ecology",Workload!$G$5:$G$40)*Staffing!$J$7</x:f>
        <x:v>96077.95008636893</x:v>
      </x:c>
      <x:c r="S39" s="8" t="n">
        <x:v>24</x:v>
      </x:c>
      <x:c r="T39" s="22" t="n">
        <x:v>0.2916666666666667</x:v>
      </x:c>
      <x:c r="U39" s="8" t="n">
        <x:v>0</x:v>
      </x:c>
      <x:c r="V39" s="8" t="n">
        <x:v>0</x:v>
      </x:c>
      <x:c r="W39" s="8" t="str">
        <x:v>https://parks.portlandciviclab.org/parks/chimney-park-5</x:v>
      </x:c>
    </x:row>
    <x:row r="40" ht="23" customHeight="1">
      <x:c r="A40" s="7" t="str">
        <x:v>1404</x:v>
      </x:c>
      <x:c r="B40" s="7" t="str">
        <x:v>Clarendon Community Garden</x:v>
      </x:c>
      <x:c r="C40" s="7" t="str">
        <x:v>community-garden</x:v>
      </x:c>
      <x:c r="D40" s="7" t="str">
        <x:v>District 2</x:v>
      </x:c>
      <x:c r="E40" s="19" t="n">
        <x:v>0.13390409</x:v>
      </x:c>
      <x:c r="F40" s="7" t="n">
        <x:v>1</x:v>
      </x:c>
      <x:c r="G40" s="7" t="n">
        <x:v>0</x:v>
      </x:c>
      <x:c r="H40" s="7" t="n">
        <x:v>0</x:v>
      </x:c>
      <x:c r="I40" s="7" t="n">
        <x:v>0</x:v>
      </x:c>
      <x:c r="J40" s="7" t="n">
        <x:v>0</x:v>
      </x:c>
      <x:c r="K40" s="7" t="n">
        <x:v>0</x:v>
      </x:c>
      <x:c r="L40" s="26" t="n">
        <x:f>F40*'Service inputs'!B67*'Service inputs'!C67</x:f>
        <x:v>52</x:v>
      </x:c>
      <x:c r="M40" s="26" t="n">
        <x:f>F40*E40*'Service inputs'!D67</x:f>
        <x:v>0.0066952045</x:v>
      </x:c>
      <x:c r="N40" s="26" t="n">
        <x:f>F40*E40*'Service inputs'!E67</x:f>
        <x:v>0.013390409</x:v>
      </x:c>
      <x:c r="O40" s="26" t="n">
        <x:f>F40*E40*'Service inputs'!F67</x:f>
        <x:v>0</x:v>
      </x:c>
      <x:c r="P40" s="26" t="n">
        <x:f>L40+F40*G40*'Service inputs'!$B$17*'Service inputs'!$B$18*'Service inputs'!$B$19+M40*('Service inputs'!$B$20*'Service inputs'!$B$21+'Service inputs'!$B$22)+N40*'Service inputs'!$B$23+F40*(H40*'Service inputs'!$B$28*'Service inputs'!$B$29+I40*'Service inputs'!$B$24*'Service inputs'!$B$25+J40*'Service inputs'!$B$26*'Service inputs'!$B$27+K40*'Service inputs'!$B$30*'Service inputs'!$B$31)</x:f>
        <x:v>53.760838783500006</x:v>
      </x:c>
      <x:c r="Q40" s="26" t="n">
        <x:f>O40/SUM($O$5:$O$320)*SUMIF(Workload!$A$5:$A$40,"Ecology",Workload!$G$5:$G$40)</x:f>
        <x:v>0</x:v>
      </x:c>
      <x:c r="R40" s="27" t="n">
        <x:f>P40/SUMIF(Workload!$A$5:$A$40,"Grounds",Workload!$G$5:$G$40)*Staffing!$J$5+Q40/SUMIF(Workload!$A$5:$A$40,"Ecology",Workload!$G$5:$G$40)*Staffing!$J$7</x:f>
        <x:v>5463.92142607842</x:v>
      </x:c>
      <x:c r="S40" s="7" t="n">
        <x:v>4</x:v>
      </x:c>
      <x:c r="T40" s="23" t="n">
        <x:v>0.5</x:v>
      </x:c>
      <x:c r="U40" s="7" t="n">
        <x:v>1</x:v>
      </x:c>
      <x:c r="V40" s="7" t="n">
        <x:v>0</x:v>
      </x:c>
      <x:c r="W40" s="7" t="str">
        <x:v>https://parks.portlandciviclab.org/parks/clarendon-community-garden-1404</x:v>
      </x:c>
    </x:row>
    <x:row r="41" ht="23" customHeight="1">
      <x:c r="A41" s="8" t="str">
        <x:v>925</x:v>
      </x:c>
      <x:c r="B41" s="8" t="str">
        <x:v>Clatsop Butte Park</x:v>
      </x:c>
      <x:c r="C41" s="8" t="str">
        <x:v>natural-area</x:v>
      </x:c>
      <x:c r="D41" s="8" t="str">
        <x:v>District 1</x:v>
      </x:c>
      <x:c r="E41" s="18" t="n">
        <x:v>44.41481737</x:v>
      </x:c>
      <x:c r="F41" s="8" t="n">
        <x:v>1</x:v>
      </x:c>
      <x:c r="G41" s="8" t="n">
        <x:v>0</x:v>
      </x:c>
      <x:c r="H41" s="8" t="n">
        <x:v>0</x:v>
      </x:c>
      <x:c r="I41" s="8" t="n">
        <x:v>0</x:v>
      </x:c>
      <x:c r="J41" s="8" t="n">
        <x:v>0</x:v>
      </x:c>
      <x:c r="K41" s="8" t="n">
        <x:v>0</x:v>
      </x:c>
      <x:c r="L41" s="24" t="n">
        <x:f>F41*'Service inputs'!B66*'Service inputs'!C66</x:f>
        <x:v>78</x:v>
      </x:c>
      <x:c r="M41" s="24" t="n">
        <x:f>F41*E41*'Service inputs'!D66</x:f>
        <x:v>0.22207408685000002</x:v>
      </x:c>
      <x:c r="N41" s="24" t="n">
        <x:f>F41*E41*'Service inputs'!E66</x:f>
        <x:v>0</x:v>
      </x:c>
      <x:c r="O41" s="24" t="n">
        <x:f>F41*E41*'Service inputs'!F66</x:f>
        <x:v>43.9706691963</x:v>
      </x:c>
      <x:c r="P41" s="24" t="n">
        <x:f>L41+F41*G41*'Service inputs'!$B$17*'Service inputs'!$B$18*'Service inputs'!$B$19+M41*('Service inputs'!$B$20*'Service inputs'!$B$21+'Service inputs'!$B$22)+N41*'Service inputs'!$B$23+F41*(H41*'Service inputs'!$B$28*'Service inputs'!$B$29+I41*'Service inputs'!$B$24*'Service inputs'!$B$25+J41*'Service inputs'!$B$26*'Service inputs'!$B$27+K41*'Service inputs'!$B$30*'Service inputs'!$B$31)</x:f>
        <x:v>83.10770399755</x:v>
      </x:c>
      <x:c r="Q41" s="24" t="n">
        <x:f>O41/SUM($O$5:$O$320)*SUMIF(Workload!$A$5:$A$40,"Ecology",Workload!$G$5:$G$40)</x:f>
        <x:v>461.59127879197376</x:v>
      </x:c>
      <x:c r="R41" s="25" t="n">
        <x:f>P41/SUMIF(Workload!$A$5:$A$40,"Grounds",Workload!$G$5:$G$40)*Staffing!$J$5+Q41/SUMIF(Workload!$A$5:$A$40,"Ecology",Workload!$G$5:$G$40)*Staffing!$J$7</x:f>
        <x:v>61868.33069879597</x:v>
      </x:c>
      <x:c r="S41" s="8" t="n">
        <x:v>2</x:v>
      </x:c>
      <x:c r="T41" s="22" t="n">
        <x:v>0.5</x:v>
      </x:c>
      <x:c r="U41" s="8" t="n">
        <x:v>0</x:v>
      </x:c>
      <x:c r="V41" s="8" t="n">
        <x:v>0</x:v>
      </x:c>
      <x:c r="W41" s="8" t="str">
        <x:v>https://parks.portlandciviclab.org/parks/clatsop-butte-park-925</x:v>
      </x:c>
    </x:row>
    <x:row r="42" ht="23" customHeight="1">
      <x:c r="A42" s="7" t="str">
        <x:v>9</x:v>
      </x:c>
      <x:c r="B42" s="7" t="str">
        <x:v>Clinton Community Garden</x:v>
      </x:c>
      <x:c r="C42" s="7" t="str">
        <x:v>community-garden</x:v>
      </x:c>
      <x:c r="D42" s="7" t="str">
        <x:v>District 3</x:v>
      </x:c>
      <x:c r="E42" s="19" t="n">
        <x:v>0.41879696</x:v>
      </x:c>
      <x:c r="F42" s="7" t="n">
        <x:v>1</x:v>
      </x:c>
      <x:c r="G42" s="7" t="n">
        <x:v>0</x:v>
      </x:c>
      <x:c r="H42" s="7" t="n">
        <x:v>0</x:v>
      </x:c>
      <x:c r="I42" s="7" t="n">
        <x:v>0</x:v>
      </x:c>
      <x:c r="J42" s="7" t="n">
        <x:v>0</x:v>
      </x:c>
      <x:c r="K42" s="7" t="n">
        <x:v>0</x:v>
      </x:c>
      <x:c r="L42" s="26" t="n">
        <x:f>F42*'Service inputs'!B67*'Service inputs'!C67</x:f>
        <x:v>52</x:v>
      </x:c>
      <x:c r="M42" s="26" t="n">
        <x:f>F42*E42*'Service inputs'!D67</x:f>
        <x:v>0.020939848</x:v>
      </x:c>
      <x:c r="N42" s="26" t="n">
        <x:f>F42*E42*'Service inputs'!E67</x:f>
        <x:v>0.041879696</x:v>
      </x:c>
      <x:c r="O42" s="26" t="n">
        <x:f>F42*E42*'Service inputs'!F67</x:f>
        <x:v>0</x:v>
      </x:c>
      <x:c r="P42" s="26" t="n">
        <x:f>L42+F42*G42*'Service inputs'!$B$17*'Service inputs'!$B$18*'Service inputs'!$B$19+M42*('Service inputs'!$B$20*'Service inputs'!$B$21+'Service inputs'!$B$22)+N42*'Service inputs'!$B$23+F42*(H42*'Service inputs'!$B$28*'Service inputs'!$B$29+I42*'Service inputs'!$B$24*'Service inputs'!$B$25+J42*'Service inputs'!$B$26*'Service inputs'!$B$27+K42*'Service inputs'!$B$30*'Service inputs'!$B$31)</x:f>
        <x:v>57.507180024</x:v>
      </x:c>
      <x:c r="Q42" s="26" t="n">
        <x:f>O42/SUM($O$5:$O$320)*SUMIF(Workload!$A$5:$A$40,"Ecology",Workload!$G$5:$G$40)</x:f>
        <x:v>0</x:v>
      </x:c>
      <x:c r="R42" s="27" t="n">
        <x:f>P42/SUMIF(Workload!$A$5:$A$40,"Grounds",Workload!$G$5:$G$40)*Staffing!$J$5+Q42/SUMIF(Workload!$A$5:$A$40,"Ecology",Workload!$G$5:$G$40)*Staffing!$J$7</x:f>
        <x:v>5844.676537727675</x:v>
      </x:c>
      <x:c r="S42" s="7" t="n">
        <x:v>8</x:v>
      </x:c>
      <x:c r="T42" s="23" t="n">
        <x:v>0.125</x:v>
      </x:c>
      <x:c r="U42" s="7" t="n">
        <x:v>0</x:v>
      </x:c>
      <x:c r="V42" s="7" t="n">
        <x:v>0</x:v>
      </x:c>
      <x:c r="W42" s="7" t="str">
        <x:v>https://parks.portlandciviclab.org/parks/clinton-community-garden-9</x:v>
      </x:c>
    </x:row>
    <x:row r="43" ht="23" customHeight="1">
      <x:c r="A43" s="8" t="str">
        <x:v>10</x:v>
      </x:c>
      <x:c r="B43" s="8" t="str">
        <x:v>Clinton Park</x:v>
      </x:c>
      <x:c r="C43" s="8" t="str">
        <x:v>developed-park</x:v>
      </x:c>
      <x:c r="D43" s="8" t="str">
        <x:v>District 3</x:v>
      </x:c>
      <x:c r="E43" s="18" t="n">
        <x:v>12.13807179</x:v>
      </x:c>
      <x:c r="F43" s="8" t="n">
        <x:v>1</x:v>
      </x:c>
      <x:c r="G43" s="8" t="n">
        <x:v>1</x:v>
      </x:c>
      <x:c r="H43" s="8" t="n">
        <x:v>1</x:v>
      </x:c>
      <x:c r="I43" s="8" t="n">
        <x:v>4</x:v>
      </x:c>
      <x:c r="J43" s="8" t="n">
        <x:v>6</x:v>
      </x:c>
      <x:c r="K43" s="8" t="n">
        <x:v>0</x:v>
      </x:c>
      <x:c r="L43" s="24" t="n">
        <x:f>F43*'Service inputs'!B65*'Service inputs'!C65</x:f>
        <x:v>547.5</x:v>
      </x:c>
      <x:c r="M43" s="24" t="n">
        <x:f>F43*E43*'Service inputs'!D65</x:f>
        <x:v>6.675939484500001</x:v>
      </x:c>
      <x:c r="N43" s="24" t="n">
        <x:f>F43*E43*'Service inputs'!E65</x:f>
        <x:v>0.6069035895</x:v>
      </x:c>
      <x:c r="O43" s="24" t="n">
        <x:f>F43*E43*'Service inputs'!F65</x:f>
        <x:v>3.0345179475</x:v>
      </x:c>
      <x:c r="P43" s="24" t="n">
        <x:f>L43+F43*G43*'Service inputs'!$B$17*'Service inputs'!$B$18*'Service inputs'!$B$19+M43*('Service inputs'!$B$20*'Service inputs'!$B$21+'Service inputs'!$B$22)+N43*'Service inputs'!$B$23+F43*(H43*'Service inputs'!$B$28*'Service inputs'!$B$29+I43*'Service inputs'!$B$24*'Service inputs'!$B$25+J43*'Service inputs'!$B$26*'Service inputs'!$B$27+K43*'Service inputs'!$B$30*'Service inputs'!$B$31)</x:f>
        <x:v>1662.6250388834999</x:v>
      </x:c>
      <x:c r="Q43" s="24" t="n">
        <x:f>O43/SUM($O$5:$O$320)*SUMIF(Workload!$A$5:$A$40,"Ecology",Workload!$G$5:$G$40)</x:f>
        <x:v>31.855485611339883</x:v>
      </x:c>
      <x:c r="R43" s="25" t="n">
        <x:f>P43/SUMIF(Workload!$A$5:$A$40,"Grounds",Workload!$G$5:$G$40)*Staffing!$J$5+Q43/SUMIF(Workload!$A$5:$A$40,"Ecology",Workload!$G$5:$G$40)*Staffing!$J$7</x:f>
        <x:v>172665.756857349</x:v>
      </x:c>
      <x:c r="S43" s="8" t="n">
        <x:v>73</x:v>
      </x:c>
      <x:c r="T43" s="22" t="n">
        <x:v>0.3287671232876712</x:v>
      </x:c>
      <x:c r="U43" s="8" t="n">
        <x:v>8</x:v>
      </x:c>
      <x:c r="V43" s="8" t="n">
        <x:v>0</x:v>
      </x:c>
      <x:c r="W43" s="8" t="str">
        <x:v>https://parks.portlandciviclab.org/parks/clinton-park-10</x:v>
      </x:c>
    </x:row>
    <x:row r="44" ht="23" customHeight="1">
      <x:c r="A44" s="7" t="str">
        <x:v>12</x:v>
      </x:c>
      <x:c r="B44" s="7" t="str">
        <x:v>Colonel Summers Park</x:v>
      </x:c>
      <x:c r="C44" s="7" t="str">
        <x:v>developed-park</x:v>
      </x:c>
      <x:c r="D44" s="7" t="str">
        <x:v>District 3</x:v>
      </x:c>
      <x:c r="E44" s="19" t="n">
        <x:v>5.99259115</x:v>
      </x:c>
      <x:c r="F44" s="7" t="n">
        <x:v>1</x:v>
      </x:c>
      <x:c r="G44" s="7" t="n">
        <x:v>2</x:v>
      </x:c>
      <x:c r="H44" s="7" t="n">
        <x:v>1</x:v>
      </x:c>
      <x:c r="I44" s="7" t="n">
        <x:v>1</x:v>
      </x:c>
      <x:c r="J44" s="7" t="n">
        <x:v>4</x:v>
      </x:c>
      <x:c r="K44" s="7" t="n">
        <x:v>1</x:v>
      </x:c>
      <x:c r="L44" s="26" t="n">
        <x:f>F44*'Service inputs'!B65*'Service inputs'!C65</x:f>
        <x:v>547.5</x:v>
      </x:c>
      <x:c r="M44" s="26" t="n">
        <x:f>F44*E44*'Service inputs'!D65</x:f>
        <x:v>3.2959251325000003</x:v>
      </x:c>
      <x:c r="N44" s="26" t="n">
        <x:f>F44*E44*'Service inputs'!E65</x:f>
        <x:v>0.29962955750000003</x:v>
      </x:c>
      <x:c r="O44" s="26" t="n">
        <x:f>F44*E44*'Service inputs'!F65</x:f>
        <x:v>1.4981477875</x:v>
      </x:c>
      <x:c r="P44" s="26" t="n">
        <x:f>L44+F44*G44*'Service inputs'!$B$17*'Service inputs'!$B$18*'Service inputs'!$B$19+M44*('Service inputs'!$B$20*'Service inputs'!$B$21+'Service inputs'!$B$22)+N44*'Service inputs'!$B$23+F44*(H44*'Service inputs'!$B$28*'Service inputs'!$B$29+I44*'Service inputs'!$B$24*'Service inputs'!$B$25+J44*'Service inputs'!$B$26*'Service inputs'!$B$27+K44*'Service inputs'!$B$30*'Service inputs'!$B$31)</x:f>
        <x:v>1566.7618249475</x:v>
      </x:c>
      <x:c r="Q44" s="26" t="n">
        <x:f>O44/SUM($O$5:$O$320)*SUMIF(Workload!$A$5:$A$40,"Ecology",Workload!$G$5:$G$40)</x:f>
        <x:v>15.727119138538868</x:v>
      </x:c>
      <x:c r="R44" s="27" t="n">
        <x:f>P44/SUMIF(Workload!$A$5:$A$40,"Grounds",Workload!$G$5:$G$40)*Staffing!$J$5+Q44/SUMIF(Workload!$A$5:$A$40,"Ecology",Workload!$G$5:$G$40)*Staffing!$J$7</x:f>
        <x:v>161056.20935053536</x:v>
      </x:c>
      <x:c r="S44" s="7" t="n">
        <x:v>79</x:v>
      </x:c>
      <x:c r="T44" s="23" t="n">
        <x:v>0.189873417721519</x:v>
      </x:c>
      <x:c r="U44" s="7" t="n">
        <x:v>5</x:v>
      </x:c>
      <x:c r="V44" s="7" t="n">
        <x:v>0</x:v>
      </x:c>
      <x:c r="W44" s="7" t="str">
        <x:v>https://parks.portlandciviclab.org/parks/colonel-summers-park-12</x:v>
      </x:c>
    </x:row>
    <x:row r="45" ht="23" customHeight="1">
      <x:c r="A45" s="8" t="str">
        <x:v>14</x:v>
      </x:c>
      <x:c r="B45" s="8" t="str">
        <x:v>Columbia Buffer</x:v>
      </x:c>
      <x:c r="C45" s="8" t="str">
        <x:v>natural-area</x:v>
      </x:c>
      <x:c r="D45" s="8" t="str">
        <x:v>District 2</x:v>
      </x:c>
      <x:c r="E45" s="18" t="n">
        <x:v>4.52353809</x:v>
      </x:c>
      <x:c r="F45" s="8" t="n">
        <x:v>1</x:v>
      </x:c>
      <x:c r="G45" s="8" t="n">
        <x:v>0</x:v>
      </x:c>
      <x:c r="H45" s="8" t="n">
        <x:v>0</x:v>
      </x:c>
      <x:c r="I45" s="8" t="n">
        <x:v>0</x:v>
      </x:c>
      <x:c r="J45" s="8" t="n">
        <x:v>0</x:v>
      </x:c>
      <x:c r="K45" s="8" t="n">
        <x:v>0</x:v>
      </x:c>
      <x:c r="L45" s="24" t="n">
        <x:f>F45*'Service inputs'!B66*'Service inputs'!C66</x:f>
        <x:v>78</x:v>
      </x:c>
      <x:c r="M45" s="24" t="n">
        <x:f>F45*E45*'Service inputs'!D66</x:f>
        <x:v>0.02261769045</x:v>
      </x:c>
      <x:c r="N45" s="24" t="n">
        <x:f>F45*E45*'Service inputs'!E66</x:f>
        <x:v>0</x:v>
      </x:c>
      <x:c r="O45" s="24" t="n">
        <x:f>F45*E45*'Service inputs'!F66</x:f>
        <x:v>4.478302709099999</x:v>
      </x:c>
      <x:c r="P45" s="24" t="n">
        <x:f>L45+F45*G45*'Service inputs'!$B$17*'Service inputs'!$B$18*'Service inputs'!$B$19+M45*('Service inputs'!$B$20*'Service inputs'!$B$21+'Service inputs'!$B$22)+N45*'Service inputs'!$B$23+F45*(H45*'Service inputs'!$B$28*'Service inputs'!$B$29+I45*'Service inputs'!$B$24*'Service inputs'!$B$25+J45*'Service inputs'!$B$26*'Service inputs'!$B$27+K45*'Service inputs'!$B$30*'Service inputs'!$B$31)</x:f>
        <x:v>78.52020688035</x:v>
      </x:c>
      <x:c r="Q45" s="24" t="n">
        <x:f>O45/SUM($O$5:$O$320)*SUMIF(Workload!$A$5:$A$40,"Ecology",Workload!$G$5:$G$40)</x:f>
        <x:v>47.01191753717893</x:v>
      </x:c>
      <x:c r="R45" s="25" t="n">
        <x:f>P45/SUMIF(Workload!$A$5:$A$40,"Grounds",Workload!$G$5:$G$40)*Staffing!$J$5+Q45/SUMIF(Workload!$A$5:$A$40,"Ecology",Workload!$G$5:$G$40)*Staffing!$J$7</x:f>
        <x:v>13421.185630973876</x:v>
      </x:c>
      <x:c r="S45" s="8" t="n">
        <x:v>0</x:v>
      </x:c>
      <x:c r="T45" s="22" t="n">
        <x:v>0</x:v>
      </x:c>
      <x:c r="U45" s="8" t="n">
        <x:v>0</x:v>
      </x:c>
      <x:c r="V45" s="8" t="n">
        <x:v>0</x:v>
      </x:c>
      <x:c r="W45" s="8" t="str">
        <x:v>https://parks.portlandciviclab.org/parks/columbia-buffer-14</x:v>
      </x:c>
    </x:row>
    <x:row r="46" ht="23" customHeight="1">
      <x:c r="A46" s="7" t="str">
        <x:v>15</x:v>
      </x:c>
      <x:c r="B46" s="7" t="str">
        <x:v>Columbia Childrens Arboretum</x:v>
      </x:c>
      <x:c r="C46" s="7" t="str">
        <x:v>garden</x:v>
      </x:c>
      <x:c r="D46" s="7" t="str">
        <x:v>District 2</x:v>
      </x:c>
      <x:c r="E46" s="19" t="n">
        <x:v>27.17813782</x:v>
      </x:c>
      <x:c r="F46" s="7" t="n">
        <x:v>1</x:v>
      </x:c>
      <x:c r="G46" s="7" t="n">
        <x:v>0</x:v>
      </x:c>
      <x:c r="H46" s="7" t="n">
        <x:v>0</x:v>
      </x:c>
      <x:c r="I46" s="7" t="n">
        <x:v>0</x:v>
      </x:c>
      <x:c r="J46" s="7" t="n">
        <x:v>0</x:v>
      </x:c>
      <x:c r="K46" s="7" t="n">
        <x:v>0</x:v>
      </x:c>
      <x:c r="L46" s="26" t="n">
        <x:f>F46*'Service inputs'!B71*'Service inputs'!C71</x:f>
        <x:v>547.5</x:v>
      </x:c>
      <x:c r="M46" s="26" t="n">
        <x:f>F46*E46*'Service inputs'!D71</x:f>
        <x:v>6.794534455</x:v>
      </x:c>
      <x:c r="N46" s="26" t="n">
        <x:f>F46*E46*'Service inputs'!E71</x:f>
        <x:v>10.871255128000001</x:v>
      </x:c>
      <x:c r="O46" s="26" t="n">
        <x:f>F46*E46*'Service inputs'!F71</x:f>
        <x:v>6.794534455</x:v>
      </x:c>
      <x:c r="P46" s="26" t="n">
        <x:f>L46+F46*G46*'Service inputs'!$B$17*'Service inputs'!$B$18*'Service inputs'!$B$19+M46*('Service inputs'!$B$20*'Service inputs'!$B$21+'Service inputs'!$B$22)+N46*'Service inputs'!$B$23+F46*(H46*'Service inputs'!$B$28*'Service inputs'!$B$29+I46*'Service inputs'!$B$24*'Service inputs'!$B$25+J46*'Service inputs'!$B$26*'Service inputs'!$B$27+K46*'Service inputs'!$B$30*'Service inputs'!$B$31)</x:f>
        <x:v>2008.324907825</x:v>
      </x:c>
      <x:c r="Q46" s="26" t="n">
        <x:f>O46/SUM($O$5:$O$320)*SUMIF(Workload!$A$5:$A$40,"Ecology",Workload!$G$5:$G$40)</x:f>
        <x:v>71.32704380454338</x:v>
      </x:c>
      <x:c r="R46" s="27" t="n">
        <x:f>P46/SUMIF(Workload!$A$5:$A$40,"Grounds",Workload!$G$5:$G$40)*Staffing!$J$5+Q46/SUMIF(Workload!$A$5:$A$40,"Ecology",Workload!$G$5:$G$40)*Staffing!$J$7</x:f>
        <x:v>212368.76673608623</x:v>
      </x:c>
      <x:c r="S46" s="7" t="n">
        <x:v>55</x:v>
      </x:c>
      <x:c r="T46" s="23" t="n">
        <x:v>0</x:v>
      </x:c>
      <x:c r="U46" s="7" t="n">
        <x:v>0</x:v>
      </x:c>
      <x:c r="V46" s="7" t="n">
        <x:v>0</x:v>
      </x:c>
      <x:c r="W46" s="7" t="str">
        <x:v>https://parks.portlandciviclab.org/parks/columbia-childrens-arboretum-15</x:v>
      </x:c>
    </x:row>
    <x:row r="47" ht="23" customHeight="1">
      <x:c r="A47" s="8" t="str">
        <x:v>17</x:v>
      </x:c>
      <x:c r="B47" s="8" t="str">
        <x:v>Columbia Park</x:v>
      </x:c>
      <x:c r="C47" s="8" t="str">
        <x:v>developed-park</x:v>
      </x:c>
      <x:c r="D47" s="8" t="str">
        <x:v>District 2</x:v>
      </x:c>
      <x:c r="E47" s="18" t="n">
        <x:v>35.36862506</x:v>
      </x:c>
      <x:c r="F47" s="8" t="n">
        <x:v>1</x:v>
      </x:c>
      <x:c r="G47" s="8" t="n">
        <x:v>3</x:v>
      </x:c>
      <x:c r="H47" s="8" t="n">
        <x:v>1</x:v>
      </x:c>
      <x:c r="I47" s="8" t="n">
        <x:v>6</x:v>
      </x:c>
      <x:c r="J47" s="8" t="n">
        <x:v>13</x:v>
      </x:c>
      <x:c r="K47" s="8" t="n">
        <x:v>1</x:v>
      </x:c>
      <x:c r="L47" s="24" t="n">
        <x:f>F47*'Service inputs'!B65*'Service inputs'!C65</x:f>
        <x:v>547.5</x:v>
      </x:c>
      <x:c r="M47" s="24" t="n">
        <x:f>F47*E47*'Service inputs'!D65</x:f>
        <x:v>19.452743783000003</x:v>
      </x:c>
      <x:c r="N47" s="24" t="n">
        <x:f>F47*E47*'Service inputs'!E65</x:f>
        <x:v>1.7684312530000001</x:v>
      </x:c>
      <x:c r="O47" s="24" t="n">
        <x:f>F47*E47*'Service inputs'!F65</x:f>
        <x:v>8.842156265</x:v>
      </x:c>
      <x:c r="P47" s="24" t="n">
        <x:f>L47+F47*G47*'Service inputs'!$B$17*'Service inputs'!$B$18*'Service inputs'!$B$19+M47*('Service inputs'!$B$20*'Service inputs'!$B$21+'Service inputs'!$B$22)+N47*'Service inputs'!$B$23+F47*(H47*'Service inputs'!$B$28*'Service inputs'!$B$29+I47*'Service inputs'!$B$24*'Service inputs'!$B$25+J47*'Service inputs'!$B$26*'Service inputs'!$B$27+K47*'Service inputs'!$B$30*'Service inputs'!$B$31)</x:f>
        <x:v>3123.374857369</x:v>
      </x:c>
      <x:c r="Q47" s="24" t="n">
        <x:f>O47/SUM($O$5:$O$320)*SUMIF(Workload!$A$5:$A$40,"Ecology",Workload!$G$5:$G$40)</x:f>
        <x:v>92.82238119731085</x:v>
      </x:c>
      <x:c r="R47" s="25" t="n">
        <x:f>P47/SUMIF(Workload!$A$5:$A$40,"Grounds",Workload!$G$5:$G$40)*Staffing!$J$5+Q47/SUMIF(Workload!$A$5:$A$40,"Ecology",Workload!$G$5:$G$40)*Staffing!$J$7</x:f>
        <x:v>328183.33431223</x:v>
      </x:c>
      <x:c r="S47" s="8" t="n">
        <x:v>333</x:v>
      </x:c>
      <x:c r="T47" s="22" t="n">
        <x:v>0.1831831831831832</x:v>
      </x:c>
      <x:c r="U47" s="8" t="n">
        <x:v>30</x:v>
      </x:c>
      <x:c r="V47" s="8" t="n">
        <x:v>2</x:v>
      </x:c>
      <x:c r="W47" s="8" t="str">
        <x:v>https://parks.portlandciviclab.org/parks/columbia-park-17</x:v>
      </x:c>
    </x:row>
    <x:row r="48" ht="23" customHeight="1">
      <x:c r="A48" s="7" t="str">
        <x:v>1241</x:v>
      </x:c>
      <x:c r="B48" s="7" t="str">
        <x:v>Columbia Slough Natural Area</x:v>
      </x:c>
      <x:c r="C48" s="7" t="str">
        <x:v>natural-area</x:v>
      </x:c>
      <x:c r="D48" s="7" t="str">
        <x:v>District 1</x:v>
      </x:c>
      <x:c r="E48" s="19" t="n">
        <x:v>1.92158809</x:v>
      </x:c>
      <x:c r="F48" s="7" t="n">
        <x:v>1</x:v>
      </x:c>
      <x:c r="G48" s="7" t="n">
        <x:v>0</x:v>
      </x:c>
      <x:c r="H48" s="7" t="n">
        <x:v>0</x:v>
      </x:c>
      <x:c r="I48" s="7" t="n">
        <x:v>0</x:v>
      </x:c>
      <x:c r="J48" s="7" t="n">
        <x:v>0</x:v>
      </x:c>
      <x:c r="K48" s="7" t="n">
        <x:v>0</x:v>
      </x:c>
      <x:c r="L48" s="26" t="n">
        <x:f>F48*'Service inputs'!B66*'Service inputs'!C66</x:f>
        <x:v>78</x:v>
      </x:c>
      <x:c r="M48" s="26" t="n">
        <x:f>F48*E48*'Service inputs'!D66</x:f>
        <x:v>0.00960794045</x:v>
      </x:c>
      <x:c r="N48" s="26" t="n">
        <x:f>F48*E48*'Service inputs'!E66</x:f>
        <x:v>0</x:v>
      </x:c>
      <x:c r="O48" s="26" t="n">
        <x:f>F48*E48*'Service inputs'!F66</x:f>
        <x:v>1.9023722091</x:v>
      </x:c>
      <x:c r="P48" s="26" t="n">
        <x:f>L48+F48*G48*'Service inputs'!$B$17*'Service inputs'!$B$18*'Service inputs'!$B$19+M48*('Service inputs'!$B$20*'Service inputs'!$B$21+'Service inputs'!$B$22)+N48*'Service inputs'!$B$23+F48*(H48*'Service inputs'!$B$28*'Service inputs'!$B$29+I48*'Service inputs'!$B$24*'Service inputs'!$B$25+J48*'Service inputs'!$B$26*'Service inputs'!$B$27+K48*'Service inputs'!$B$30*'Service inputs'!$B$31)</x:f>
        <x:v>78.22098263035</x:v>
      </x:c>
      <x:c r="Q48" s="26" t="n">
        <x:f>O48/SUM($O$5:$O$320)*SUMIF(Workload!$A$5:$A$40,"Ecology",Workload!$G$5:$G$40)</x:f>
        <x:v>19.97054938637759</x:v>
      </x:c>
      <x:c r="R48" s="27" t="n">
        <x:f>P48/SUMIF(Workload!$A$5:$A$40,"Grounds",Workload!$G$5:$G$40)*Staffing!$J$5+Q48/SUMIF(Workload!$A$5:$A$40,"Ecology",Workload!$G$5:$G$40)*Staffing!$J$7</x:f>
        <x:v>10261.170425033362</x:v>
      </x:c>
      <x:c r="S48" s="7" t="n">
        <x:v>0</x:v>
      </x:c>
      <x:c r="T48" s="23" t="n">
        <x:v>0</x:v>
      </x:c>
      <x:c r="U48" s="7" t="n">
        <x:v>0</x:v>
      </x:c>
      <x:c r="V48" s="7" t="n">
        <x:v>3</x:v>
      </x:c>
      <x:c r="W48" s="7" t="str">
        <x:v>https://parks.portlandciviclab.org/parks/columbia-slough-natural-area-1241</x:v>
      </x:c>
    </x:row>
    <x:row r="49" ht="23" customHeight="1">
      <x:c r="A49" s="8" t="str">
        <x:v>20</x:v>
      </x:c>
      <x:c r="B49" s="8" t="str">
        <x:v>Columbia Slough Trail</x:v>
      </x:c>
      <x:c r="C49" s="8" t="str">
        <x:v>corridor</x:v>
      </x:c>
      <x:c r="D49" s="8" t="str">
        <x:v>District 2</x:v>
      </x:c>
      <x:c r="E49" s="18" t="n">
        <x:v>2.42885941</x:v>
      </x:c>
      <x:c r="F49" s="8" t="n">
        <x:v>1</x:v>
      </x:c>
      <x:c r="G49" s="8" t="n">
        <x:v>0</x:v>
      </x:c>
      <x:c r="H49" s="8" t="n">
        <x:v>0</x:v>
      </x:c>
      <x:c r="I49" s="8" t="n">
        <x:v>0</x:v>
      </x:c>
      <x:c r="J49" s="8" t="n">
        <x:v>0</x:v>
      </x:c>
      <x:c r="K49" s="8" t="n">
        <x:v>0</x:v>
      </x:c>
      <x:c r="L49" s="24" t="n">
        <x:f>F49*'Service inputs'!B70*'Service inputs'!C70</x:f>
        <x:v>104</x:v>
      </x:c>
      <x:c r="M49" s="24" t="n">
        <x:f>F49*E49*'Service inputs'!D70</x:f>
        <x:v>0.07286578229999999</x:v>
      </x:c>
      <x:c r="N49" s="24" t="n">
        <x:f>F49*E49*'Service inputs'!E70</x:f>
        <x:v>0.024288594099999998</x:v>
      </x:c>
      <x:c r="O49" s="24" t="n">
        <x:f>F49*E49*'Service inputs'!F70</x:f>
        <x:v>2.0645304985</x:v>
      </x:c>
      <x:c r="P49" s="24" t="n">
        <x:f>L49+F49*G49*'Service inputs'!$B$17*'Service inputs'!$B$18*'Service inputs'!$B$19+M49*('Service inputs'!$B$20*'Service inputs'!$B$21+'Service inputs'!$B$22)+N49*'Service inputs'!$B$23+F49*(H49*'Service inputs'!$B$28*'Service inputs'!$B$29+I49*'Service inputs'!$B$24*'Service inputs'!$B$25+J49*'Service inputs'!$B$26*'Service inputs'!$B$27+K49*'Service inputs'!$B$30*'Service inputs'!$B$31)</x:f>
        <x:v>108.59054428489999</x:v>
      </x:c>
      <x:c r="Q49" s="24" t="n">
        <x:f>O49/SUM($O$5:$O$320)*SUMIF(Workload!$A$5:$A$40,"Ecology",Workload!$G$5:$G$40)</x:f>
        <x:v>21.672839879995177</x:v>
      </x:c>
      <x:c r="R49" s="25" t="n">
        <x:f>P49/SUMIF(Workload!$A$5:$A$40,"Grounds",Workload!$G$5:$G$40)*Staffing!$J$5+Q49/SUMIF(Workload!$A$5:$A$40,"Ecology",Workload!$G$5:$G$40)*Staffing!$J$7</x:f>
        <x:v>13544.758899503631</x:v>
      </x:c>
      <x:c r="S49" s="8" t="n">
        <x:v>1</x:v>
      </x:c>
      <x:c r="T49" s="22" t="n">
        <x:v>1</x:v>
      </x:c>
      <x:c r="U49" s="8" t="n">
        <x:v>1</x:v>
      </x:c>
      <x:c r="V49" s="8" t="n">
        <x:v>0</x:v>
      </x:c>
      <x:c r="W49" s="8" t="str">
        <x:v>https://parks.portlandciviclab.org/parks/columbia-slough-trail-20</x:v>
      </x:c>
    </x:row>
    <x:row r="50" ht="23" customHeight="1">
      <x:c r="A50" s="7" t="str">
        <x:v>1480</x:v>
      </x:c>
      <x:c r="B50" s="7" t="str">
        <x:v>Colwood Property</x:v>
      </x:c>
      <x:c r="C50" s="7" t="str">
        <x:v>golf-raceway</x:v>
      </x:c>
      <x:c r="D50" s="7" t="str">
        <x:v>District 2</x:v>
      </x:c>
      <x:c r="E50" s="19" t="n">
        <x:v>91.75859209</x:v>
      </x:c>
      <x:c r="F50" s="7" t="n">
        <x:v>0</x:v>
      </x:c>
      <x:c r="G50" s="7" t="n">
        <x:v>0</x:v>
      </x:c>
      <x:c r="H50" s="7" t="n">
        <x:v>0</x:v>
      </x:c>
      <x:c r="I50" s="7" t="n">
        <x:v>0</x:v>
      </x:c>
      <x:c r="J50" s="7" t="n">
        <x:v>0</x:v>
      </x:c>
      <x:c r="K50" s="7" t="n">
        <x:v>0</x:v>
      </x:c>
      <x:c r="L50" s="26" t="n">
        <x:f>F50*'Service inputs'!B72*'Service inputs'!C72</x:f>
        <x:v>0</x:v>
      </x:c>
      <x:c r="M50" s="26" t="n">
        <x:f>F50*E50*'Service inputs'!D72</x:f>
        <x:v>0</x:v>
      </x:c>
      <x:c r="N50" s="26" t="n">
        <x:f>F50*E50*'Service inputs'!E72</x:f>
        <x:v>0</x:v>
      </x:c>
      <x:c r="O50" s="26" t="n">
        <x:f>F50*E50*'Service inputs'!F72</x:f>
        <x:v>0</x:v>
      </x:c>
      <x:c r="P50" s="26" t="n">
        <x:f>L50+F50*G50*'Service inputs'!$B$17*'Service inputs'!$B$18*'Service inputs'!$B$19+M50*('Service inputs'!$B$20*'Service inputs'!$B$21+'Service inputs'!$B$22)+N50*'Service inputs'!$B$23+F50*(H50*'Service inputs'!$B$28*'Service inputs'!$B$29+I50*'Service inputs'!$B$24*'Service inputs'!$B$25+J50*'Service inputs'!$B$26*'Service inputs'!$B$27+K50*'Service inputs'!$B$30*'Service inputs'!$B$31)</x:f>
        <x:v>0</x:v>
      </x:c>
      <x:c r="Q50" s="26" t="n">
        <x:f>O50/SUM($O$5:$O$320)*SUMIF(Workload!$A$5:$A$40,"Ecology",Workload!$G$5:$G$40)</x:f>
        <x:v>0</x:v>
      </x:c>
      <x:c r="R50" s="27" t="n">
        <x:f>P50/SUMIF(Workload!$A$5:$A$40,"Grounds",Workload!$G$5:$G$40)*Staffing!$J$5+Q50/SUMIF(Workload!$A$5:$A$40,"Ecology",Workload!$G$5:$G$40)*Staffing!$J$7</x:f>
        <x:v>0</x:v>
      </x:c>
      <x:c r="S50" s="7" t="n">
        <x:v>5</x:v>
      </x:c>
      <x:c r="T50" s="23" t="n">
        <x:v>0.6</x:v>
      </x:c>
      <x:c r="U50" s="7" t="n">
        <x:v>0</x:v>
      </x:c>
      <x:c r="V50" s="7" t="n">
        <x:v>0</x:v>
      </x:c>
      <x:c r="W50" s="7" t="str">
        <x:v>https://parks.portlandciviclab.org/parks/colwood-property-1480</x:v>
      </x:c>
    </x:row>
    <x:row r="51" ht="23" customHeight="1">
      <x:c r="A51" s="8" t="str">
        <x:v>21</x:v>
      </x:c>
      <x:c r="B51" s="8" t="str">
        <x:v>Community Music Center</x:v>
      </x:c>
      <x:c r="C51" s="8" t="str">
        <x:v>facility-site</x:v>
      </x:c>
      <x:c r="D51" s="8" t="str">
        <x:v>District 3</x:v>
      </x:c>
      <x:c r="E51" s="18" t="n">
        <x:v>0.22957659</x:v>
      </x:c>
      <x:c r="F51" s="8" t="n">
        <x:v>1</x:v>
      </x:c>
      <x:c r="G51" s="8" t="n">
        <x:v>0</x:v>
      </x:c>
      <x:c r="H51" s="8" t="n">
        <x:v>0</x:v>
      </x:c>
      <x:c r="I51" s="8" t="n">
        <x:v>0</x:v>
      </x:c>
      <x:c r="J51" s="8" t="n">
        <x:v>0</x:v>
      </x:c>
      <x:c r="K51" s="8" t="n">
        <x:v>0</x:v>
      </x:c>
      <x:c r="L51" s="24" t="n">
        <x:f>F51*'Service inputs'!B69*'Service inputs'!C69</x:f>
        <x:v>260</x:v>
      </x:c>
      <x:c r="M51" s="24" t="n">
        <x:f>F51*E51*'Service inputs'!D69</x:f>
        <x:v>0.022957659000000002</x:v>
      </x:c>
      <x:c r="N51" s="24" t="n">
        <x:f>F51*E51*'Service inputs'!E69</x:f>
        <x:v>0.022957659000000002</x:v>
      </x:c>
      <x:c r="O51" s="24" t="n">
        <x:f>F51*E51*'Service inputs'!F69</x:f>
        <x:v>0</x:v>
      </x:c>
      <x:c r="P51" s="24" t="n">
        <x:f>L51+F51*G51*'Service inputs'!$B$17*'Service inputs'!$B$18*'Service inputs'!$B$19+M51*('Service inputs'!$B$20*'Service inputs'!$B$21+'Service inputs'!$B$22)+N51*'Service inputs'!$B$23+F51*(H51*'Service inputs'!$B$28*'Service inputs'!$B$29+I51*'Service inputs'!$B$24*'Service inputs'!$B$25+J51*'Service inputs'!$B$26*'Service inputs'!$B$27+K51*'Service inputs'!$B$30*'Service inputs'!$B$31)</x:f>
        <x:v>263.282945237</x:v>
      </x:c>
      <x:c r="Q51" s="24" t="n">
        <x:f>O51/SUM($O$5:$O$320)*SUMIF(Workload!$A$5:$A$40,"Ecology",Workload!$G$5:$G$40)</x:f>
        <x:v>0</x:v>
      </x:c>
      <x:c r="R51" s="25" t="n">
        <x:f>P51/SUMIF(Workload!$A$5:$A$40,"Grounds",Workload!$G$5:$G$40)*Staffing!$J$5+Q51/SUMIF(Workload!$A$5:$A$40,"Ecology",Workload!$G$5:$G$40)*Staffing!$J$7</x:f>
        <x:v>26758.461328973724</x:v>
      </x:c>
      <x:c r="S51" s="8" t="n">
        <x:v>2</x:v>
      </x:c>
      <x:c r="T51" s="22" t="n">
        <x:v>1</x:v>
      </x:c>
      <x:c r="U51" s="8" t="n">
        <x:v>0</x:v>
      </x:c>
      <x:c r="V51" s="8" t="n">
        <x:v>1</x:v>
      </x:c>
      <x:c r="W51" s="8" t="str">
        <x:v>https://parks.portlandciviclab.org/parks/community-music-center-21</x:v>
      </x:c>
    </x:row>
    <x:row r="52" ht="23" customHeight="1">
      <x:c r="A52" s="7" t="str">
        <x:v>22</x:v>
      </x:c>
      <x:c r="B52" s="7" t="str">
        <x:v>Cottonwood Bay</x:v>
      </x:c>
      <x:c r="C52" s="7" t="str">
        <x:v>natural-area</x:v>
      </x:c>
      <x:c r="D52" s="7" t="str">
        <x:v>District 4</x:v>
      </x:c>
      <x:c r="E52" s="19" t="n">
        <x:v>0.83396951</x:v>
      </x:c>
      <x:c r="F52" s="7" t="n">
        <x:v>1</x:v>
      </x:c>
      <x:c r="G52" s="7" t="n">
        <x:v>0</x:v>
      </x:c>
      <x:c r="H52" s="7" t="n">
        <x:v>0</x:v>
      </x:c>
      <x:c r="I52" s="7" t="n">
        <x:v>0</x:v>
      </x:c>
      <x:c r="J52" s="7" t="n">
        <x:v>0</x:v>
      </x:c>
      <x:c r="K52" s="7" t="n">
        <x:v>0</x:v>
      </x:c>
      <x:c r="L52" s="26" t="n">
        <x:f>F52*'Service inputs'!B66*'Service inputs'!C66</x:f>
        <x:v>78</x:v>
      </x:c>
      <x:c r="M52" s="26" t="n">
        <x:f>F52*E52*'Service inputs'!D66</x:f>
        <x:v>0.00416984755</x:v>
      </x:c>
      <x:c r="N52" s="26" t="n">
        <x:f>F52*E52*'Service inputs'!E66</x:f>
        <x:v>0</x:v>
      </x:c>
      <x:c r="O52" s="26" t="n">
        <x:f>F52*E52*'Service inputs'!F66</x:f>
        <x:v>0.8256298149</x:v>
      </x:c>
      <x:c r="P52" s="26" t="n">
        <x:f>L52+F52*G52*'Service inputs'!$B$17*'Service inputs'!$B$18*'Service inputs'!$B$19+M52*('Service inputs'!$B$20*'Service inputs'!$B$21+'Service inputs'!$B$22)+N52*'Service inputs'!$B$23+F52*(H52*'Service inputs'!$B$28*'Service inputs'!$B$29+I52*'Service inputs'!$B$24*'Service inputs'!$B$25+J52*'Service inputs'!$B$26*'Service inputs'!$B$27+K52*'Service inputs'!$B$30*'Service inputs'!$B$31)</x:f>
        <x:v>78.09590649365</x:v>
      </x:c>
      <x:c r="Q52" s="26" t="n">
        <x:f>O52/SUM($O$5:$O$320)*SUMIF(Workload!$A$5:$A$40,"Ecology",Workload!$G$5:$G$40)</x:f>
        <x:v>8.667221332636446</x:v>
      </x:c>
      <x:c r="R52" s="27" t="n">
        <x:f>P52/SUMIF(Workload!$A$5:$A$40,"Grounds",Workload!$G$5:$G$40)*Staffing!$J$5+Q52/SUMIF(Workload!$A$5:$A$40,"Ecology",Workload!$G$5:$G$40)*Staffing!$J$7</x:f>
        <x:v>8940.279842561205</x:v>
      </x:c>
      <x:c r="S52" s="7" t="n">
        <x:v>0</x:v>
      </x:c>
      <x:c r="T52" s="23" t="n">
        <x:v>0</x:v>
      </x:c>
      <x:c r="U52" s="7" t="n">
        <x:v>0</x:v>
      </x:c>
      <x:c r="V52" s="7" t="n">
        <x:v>0</x:v>
      </x:c>
      <x:c r="W52" s="7" t="str">
        <x:v>https://parks.portlandciviclab.org/parks/cottonwood-bay-22</x:v>
      </x:c>
    </x:row>
    <x:row r="53" ht="23" customHeight="1">
      <x:c r="A53" s="8" t="str">
        <x:v>811</x:v>
      </x:c>
      <x:c r="B53" s="8" t="str">
        <x:v>Cottonwood Creek Natural Area</x:v>
      </x:c>
      <x:c r="C53" s="8" t="str">
        <x:v>natural-area</x:v>
      </x:c>
      <x:c r="D53" s="8" t="str">
        <x:v>District 1</x:v>
      </x:c>
      <x:c r="E53" s="18" t="n">
        <x:v>1.65543315</x:v>
      </x:c>
      <x:c r="F53" s="8" t="n">
        <x:v>1</x:v>
      </x:c>
      <x:c r="G53" s="8" t="n">
        <x:v>0</x:v>
      </x:c>
      <x:c r="H53" s="8" t="n">
        <x:v>0</x:v>
      </x:c>
      <x:c r="I53" s="8" t="n">
        <x:v>0</x:v>
      </x:c>
      <x:c r="J53" s="8" t="n">
        <x:v>0</x:v>
      </x:c>
      <x:c r="K53" s="8" t="n">
        <x:v>0</x:v>
      </x:c>
      <x:c r="L53" s="24" t="n">
        <x:f>F53*'Service inputs'!B66*'Service inputs'!C66</x:f>
        <x:v>78</x:v>
      </x:c>
      <x:c r="M53" s="24" t="n">
        <x:f>F53*E53*'Service inputs'!D66</x:f>
        <x:v>0.008277165749999999</x:v>
      </x:c>
      <x:c r="N53" s="24" t="n">
        <x:f>F53*E53*'Service inputs'!E66</x:f>
        <x:v>0</x:v>
      </x:c>
      <x:c r="O53" s="24" t="n">
        <x:f>F53*E53*'Service inputs'!F66</x:f>
        <x:v>1.6388788184999998</x:v>
      </x:c>
      <x:c r="P53" s="24" t="n">
        <x:f>L53+F53*G53*'Service inputs'!$B$17*'Service inputs'!$B$18*'Service inputs'!$B$19+M53*('Service inputs'!$B$20*'Service inputs'!$B$21+'Service inputs'!$B$22)+N53*'Service inputs'!$B$23+F53*(H53*'Service inputs'!$B$28*'Service inputs'!$B$29+I53*'Service inputs'!$B$24*'Service inputs'!$B$25+J53*'Service inputs'!$B$26*'Service inputs'!$B$27+K53*'Service inputs'!$B$30*'Service inputs'!$B$31)</x:f>
        <x:v>78.19037481225</x:v>
      </x:c>
      <x:c r="Q53" s="24" t="n">
        <x:f>O53/SUM($O$5:$O$320)*SUMIF(Workload!$A$5:$A$40,"Ecology",Workload!$G$5:$G$40)</x:f>
        <x:v>17.204472514149284</x:v>
      </x:c>
      <x:c r="R53" s="25" t="n">
        <x:f>P53/SUMIF(Workload!$A$5:$A$40,"Grounds",Workload!$G$5:$G$40)*Staffing!$J$5+Q53/SUMIF(Workload!$A$5:$A$40,"Ecology",Workload!$G$5:$G$40)*Staffing!$J$7</x:f>
        <x:v>9937.93067886753</x:v>
      </x:c>
      <x:c r="S53" s="8" t="n">
        <x:v>0</x:v>
      </x:c>
      <x:c r="T53" s="22" t="n">
        <x:v>0</x:v>
      </x:c>
      <x:c r="U53" s="8" t="n">
        <x:v>0</x:v>
      </x:c>
      <x:c r="V53" s="8" t="n">
        <x:v>0</x:v>
      </x:c>
      <x:c r="W53" s="8" t="str">
        <x:v>https://parks.portlandciviclab.org/parks/cottonwood-creek-natural-area-811</x:v>
      </x:c>
    </x:row>
    <x:row r="54" ht="23" customHeight="1">
      <x:c r="A54" s="7" t="str">
        <x:v>23</x:v>
      </x:c>
      <x:c r="B54" s="7" t="str">
        <x:v>Couch Park</x:v>
      </x:c>
      <x:c r="C54" s="7" t="str">
        <x:v>developed-park</x:v>
      </x:c>
      <x:c r="D54" s="7" t="str">
        <x:v>District 4</x:v>
      </x:c>
      <x:c r="E54" s="19" t="n">
        <x:v>2.40128689</x:v>
      </x:c>
      <x:c r="F54" s="7" t="n">
        <x:v>1</x:v>
      </x:c>
      <x:c r="G54" s="7" t="n">
        <x:v>1</x:v>
      </x:c>
      <x:c r="H54" s="7" t="n">
        <x:v>1</x:v>
      </x:c>
      <x:c r="I54" s="7" t="n">
        <x:v>0</x:v>
      </x:c>
      <x:c r="J54" s="7" t="n">
        <x:v>0</x:v>
      </x:c>
      <x:c r="K54" s="7" t="n">
        <x:v>0</x:v>
      </x:c>
      <x:c r="L54" s="26" t="n">
        <x:f>F54*'Service inputs'!B65*'Service inputs'!C65</x:f>
        <x:v>547.5</x:v>
      </x:c>
      <x:c r="M54" s="26" t="n">
        <x:f>F54*E54*'Service inputs'!D65</x:f>
        <x:v>1.3207077895000001</x:v>
      </x:c>
      <x:c r="N54" s="26" t="n">
        <x:f>F54*E54*'Service inputs'!E65</x:f>
        <x:v>0.12006434450000002</x:v>
      </x:c>
      <x:c r="O54" s="26" t="n">
        <x:f>F54*E54*'Service inputs'!F65</x:f>
        <x:v>0.6003217225</x:v>
      </x:c>
      <x:c r="P54" s="26" t="n">
        <x:f>L54+F54*G54*'Service inputs'!$B$17*'Service inputs'!$B$18*'Service inputs'!$B$19+M54*('Service inputs'!$B$20*'Service inputs'!$B$21+'Service inputs'!$B$22)+N54*'Service inputs'!$B$23+F54*(H54*'Service inputs'!$B$28*'Service inputs'!$B$29+I54*'Service inputs'!$B$24*'Service inputs'!$B$25+J54*'Service inputs'!$B$26*'Service inputs'!$B$27+K54*'Service inputs'!$B$30*'Service inputs'!$B$31)</x:f>
        <x:v>953.0340004985</x:v>
      </x:c>
      <x:c r="Q54" s="26" t="n">
        <x:f>O54/SUM($O$5:$O$320)*SUMIF(Workload!$A$5:$A$40,"Ecology",Workload!$G$5:$G$40)</x:f>
        <x:v>6.302002599466756</x:v>
      </x:c>
      <x:c r="R54" s="27" t="n">
        <x:f>P54/SUMIF(Workload!$A$5:$A$40,"Grounds",Workload!$G$5:$G$40)*Staffing!$J$5+Q54/SUMIF(Workload!$A$5:$A$40,"Ecology",Workload!$G$5:$G$40)*Staffing!$J$7</x:f>
        <x:v>97589.87731213948</x:v>
      </x:c>
      <x:c r="S54" s="7" t="n">
        <x:v>59</x:v>
      </x:c>
      <x:c r="T54" s="23" t="n">
        <x:v>0.3898305084745763</x:v>
      </x:c>
      <x:c r="U54" s="7" t="n">
        <x:v>8</x:v>
      </x:c>
      <x:c r="V54" s="7" t="n">
        <x:v>2</x:v>
      </x:c>
      <x:c r="W54" s="7" t="str">
        <x:v>https://parks.portlandciviclab.org/parks/couch-park-23</x:v>
      </x:c>
    </x:row>
    <x:row r="55" ht="23" customHeight="1">
      <x:c r="A55" s="8" t="str">
        <x:v>24</x:v>
      </x:c>
      <x:c r="B55" s="8" t="str">
        <x:v>Council Crest Park</x:v>
      </x:c>
      <x:c r="C55" s="8" t="str">
        <x:v>developed-park</x:v>
      </x:c>
      <x:c r="D55" s="8" t="str">
        <x:v>District 4</x:v>
      </x:c>
      <x:c r="E55" s="18" t="n">
        <x:v>42.95008773</x:v>
      </x:c>
      <x:c r="F55" s="8" t="n">
        <x:v>1</x:v>
      </x:c>
      <x:c r="G55" s="8" t="n">
        <x:v>0</x:v>
      </x:c>
      <x:c r="H55" s="8" t="n">
        <x:v>0</x:v>
      </x:c>
      <x:c r="I55" s="8" t="n">
        <x:v>0</x:v>
      </x:c>
      <x:c r="J55" s="8" t="n">
        <x:v>0</x:v>
      </x:c>
      <x:c r="K55" s="8" t="n">
        <x:v>0</x:v>
      </x:c>
      <x:c r="L55" s="24" t="n">
        <x:f>F55*'Service inputs'!B65*'Service inputs'!C65</x:f>
        <x:v>547.5</x:v>
      </x:c>
      <x:c r="M55" s="24" t="n">
        <x:f>F55*E55*'Service inputs'!D65</x:f>
        <x:v>23.622548251500003</x:v>
      </x:c>
      <x:c r="N55" s="24" t="n">
        <x:f>F55*E55*'Service inputs'!E65</x:f>
        <x:v>2.1475043865</x:v>
      </x:c>
      <x:c r="O55" s="24" t="n">
        <x:f>F55*E55*'Service inputs'!F65</x:f>
        <x:v>10.7375219325</x:v>
      </x:c>
      <x:c r="P55" s="24" t="n">
        <x:f>L55+F55*G55*'Service inputs'!$B$17*'Service inputs'!$B$18*'Service inputs'!$B$19+M55*('Service inputs'!$B$20*'Service inputs'!$B$21+'Service inputs'!$B$22)+N55*'Service inputs'!$B$23+F55*(H55*'Service inputs'!$B$28*'Service inputs'!$B$29+I55*'Service inputs'!$B$24*'Service inputs'!$B$25+J55*'Service inputs'!$B$26*'Service inputs'!$B$27+K55*'Service inputs'!$B$30*'Service inputs'!$B$31)</x:f>
        <x:v>1348.5191361645</x:v>
      </x:c>
      <x:c r="Q55" s="24" t="n">
        <x:f>O55/SUM($O$5:$O$320)*SUMIF(Workload!$A$5:$A$40,"Ecology",Workload!$G$5:$G$40)</x:f>
        <x:v>112.71937795062263</x:v>
      </x:c>
      <x:c r="R55" s="25" t="n">
        <x:f>P55/SUMIF(Workload!$A$5:$A$40,"Grounds",Workload!$G$5:$G$40)*Staffing!$J$5+Q55/SUMIF(Workload!$A$5:$A$40,"Ecology",Workload!$G$5:$G$40)*Staffing!$J$7</x:f>
        <x:v>150100.65861395982</x:v>
      </x:c>
      <x:c r="S55" s="8" t="n">
        <x:v>32</x:v>
      </x:c>
      <x:c r="T55" s="22" t="n">
        <x:v>0.0625</x:v>
      </x:c>
      <x:c r="U55" s="8" t="n">
        <x:v>2</x:v>
      </x:c>
      <x:c r="V55" s="8" t="n">
        <x:v>0</x:v>
      </x:c>
      <x:c r="W55" s="8" t="str">
        <x:v>https://parks.portlandciviclab.org/parks/council-crest-park-24</x:v>
      </x:c>
    </x:row>
    <x:row r="56" ht="23" customHeight="1">
      <x:c r="A56" s="7" t="str">
        <x:v>25</x:v>
      </x:c>
      <x:c r="B56" s="7" t="str">
        <x:v>Creston Park</x:v>
      </x:c>
      <x:c r="C56" s="7" t="str">
        <x:v>developed-park</x:v>
      </x:c>
      <x:c r="D56" s="7" t="str">
        <x:v>District 3</x:v>
      </x:c>
      <x:c r="E56" s="19" t="n">
        <x:v>14.38059242</x:v>
      </x:c>
      <x:c r="F56" s="7" t="n">
        <x:v>1</x:v>
      </x:c>
      <x:c r="G56" s="7" t="n">
        <x:v>2</x:v>
      </x:c>
      <x:c r="H56" s="7" t="n">
        <x:v>1</x:v>
      </x:c>
      <x:c r="I56" s="7" t="n">
        <x:v>2</x:v>
      </x:c>
      <x:c r="J56" s="7" t="n">
        <x:v>2</x:v>
      </x:c>
      <x:c r="K56" s="7" t="n">
        <x:v>0</x:v>
      </x:c>
      <x:c r="L56" s="26" t="n">
        <x:f>F56*'Service inputs'!B65*'Service inputs'!C65</x:f>
        <x:v>547.5</x:v>
      </x:c>
      <x:c r="M56" s="26" t="n">
        <x:f>F56*E56*'Service inputs'!D65</x:f>
        <x:v>7.909325831</x:v>
      </x:c>
      <x:c r="N56" s="26" t="n">
        <x:f>F56*E56*'Service inputs'!E65</x:f>
        <x:v>0.719029621</x:v>
      </x:c>
      <x:c r="O56" s="26" t="n">
        <x:f>F56*E56*'Service inputs'!F65</x:f>
        <x:v>3.595148105</x:v>
      </x:c>
      <x:c r="P56" s="26" t="n">
        <x:f>L56+F56*G56*'Service inputs'!$B$17*'Service inputs'!$B$18*'Service inputs'!$B$19+M56*('Service inputs'!$B$20*'Service inputs'!$B$21+'Service inputs'!$B$22)+N56*'Service inputs'!$B$23+F56*(H56*'Service inputs'!$B$28*'Service inputs'!$B$29+I56*'Service inputs'!$B$24*'Service inputs'!$B$25+J56*'Service inputs'!$B$26*'Service inputs'!$B$27+K56*'Service inputs'!$B$30*'Service inputs'!$B$31)</x:f>
        <x:v>1744.198048633</x:v>
      </x:c>
      <x:c r="Q56" s="26" t="n">
        <x:f>O56/SUM($O$5:$O$320)*SUMIF(Workload!$A$5:$A$40,"Ecology",Workload!$G$5:$G$40)</x:f>
        <x:v>37.74081772158092</x:v>
      </x:c>
      <x:c r="R56" s="27" t="n">
        <x:f>P56/SUMIF(Workload!$A$5:$A$40,"Grounds",Workload!$G$5:$G$40)*Staffing!$J$5+Q56/SUMIF(Workload!$A$5:$A$40,"Ecology",Workload!$G$5:$G$40)*Staffing!$J$7</x:f>
        <x:v>181637.46913558425</x:v>
      </x:c>
      <x:c r="S56" s="7" t="n">
        <x:v>181</x:v>
      </x:c>
      <x:c r="T56" s="23" t="n">
        <x:v>0.2265193370165746</x:v>
      </x:c>
      <x:c r="U56" s="7" t="n">
        <x:v>26</x:v>
      </x:c>
      <x:c r="V56" s="7" t="n">
        <x:v>0</x:v>
      </x:c>
      <x:c r="W56" s="7" t="str">
        <x:v>https://parks.portlandciviclab.org/parks/creston-park-25</x:v>
      </x:c>
    </x:row>
    <x:row r="57" ht="23" customHeight="1">
      <x:c r="A57" s="8" t="str">
        <x:v>1416</x:v>
      </x:c>
      <x:c r="B57" s="8" t="str">
        <x:v>Cross Levee Natural Area</x:v>
      </x:c>
      <x:c r="C57" s="8" t="str">
        <x:v>natural-area</x:v>
      </x:c>
      <x:c r="D57" s="8" t="str">
        <x:v>District 1</x:v>
      </x:c>
      <x:c r="E57" s="18" t="n">
        <x:v>10.74346302</x:v>
      </x:c>
      <x:c r="F57" s="8" t="n">
        <x:v>1</x:v>
      </x:c>
      <x:c r="G57" s="8" t="n">
        <x:v>0</x:v>
      </x:c>
      <x:c r="H57" s="8" t="n">
        <x:v>0</x:v>
      </x:c>
      <x:c r="I57" s="8" t="n">
        <x:v>0</x:v>
      </x:c>
      <x:c r="J57" s="8" t="n">
        <x:v>0</x:v>
      </x:c>
      <x:c r="K57" s="8" t="n">
        <x:v>0</x:v>
      </x:c>
      <x:c r="L57" s="24" t="n">
        <x:f>F57*'Service inputs'!B66*'Service inputs'!C66</x:f>
        <x:v>78</x:v>
      </x:c>
      <x:c r="M57" s="24" t="n">
        <x:f>F57*E57*'Service inputs'!D66</x:f>
        <x:v>0.0537173151</x:v>
      </x:c>
      <x:c r="N57" s="24" t="n">
        <x:f>F57*E57*'Service inputs'!E66</x:f>
        <x:v>0</x:v>
      </x:c>
      <x:c r="O57" s="24" t="n">
        <x:f>F57*E57*'Service inputs'!F66</x:f>
        <x:v>10.6360283898</x:v>
      </x:c>
      <x:c r="P57" s="24" t="n">
        <x:f>L57+F57*G57*'Service inputs'!$B$17*'Service inputs'!$B$18*'Service inputs'!$B$19+M57*('Service inputs'!$B$20*'Service inputs'!$B$21+'Service inputs'!$B$22)+N57*'Service inputs'!$B$23+F57*(H57*'Service inputs'!$B$28*'Service inputs'!$B$29+I57*'Service inputs'!$B$24*'Service inputs'!$B$25+J57*'Service inputs'!$B$26*'Service inputs'!$B$27+K57*'Service inputs'!$B$30*'Service inputs'!$B$31)</x:f>
        <x:v>79.2354982473</x:v>
      </x:c>
      <x:c r="Q57" s="24" t="n">
        <x:f>O57/SUM($O$5:$O$320)*SUMIF(Workload!$A$5:$A$40,"Ecology",Workload!$G$5:$G$40)</x:f>
        <x:v>111.65392829929091</x:v>
      </x:c>
      <x:c r="R57" s="25" t="n">
        <x:f>P57/SUMIF(Workload!$A$5:$A$40,"Grounds",Workload!$G$5:$G$40)*Staffing!$J$5+Q57/SUMIF(Workload!$A$5:$A$40,"Ecology",Workload!$G$5:$G$40)*Staffing!$J$7</x:f>
        <x:v>20975.157597617537</x:v>
      </x:c>
      <x:c r="S57" s="8" t="n">
        <x:v>0</x:v>
      </x:c>
      <x:c r="T57" s="22" t="n">
        <x:v>0</x:v>
      </x:c>
      <x:c r="U57" s="8" t="n">
        <x:v>0</x:v>
      </x:c>
      <x:c r="V57" s="8" t="n">
        <x:v>0</x:v>
      </x:c>
      <x:c r="W57" s="8" t="str">
        <x:v>https://parks.portlandciviclab.org/parks/cross-levee-natural-area-1416</x:v>
      </x:c>
    </x:row>
    <x:row r="58" ht="23" customHeight="1">
      <x:c r="A58" s="7" t="str">
        <x:v>1489</x:v>
      </x:c>
      <x:c r="B58" s="7" t="str">
        <x:v>Crossroads Community Garden</x:v>
      </x:c>
      <x:c r="C58" s="7" t="str">
        <x:v>community-garden</x:v>
      </x:c>
      <x:c r="D58" s="7" t="str">
        <x:v>District 4</x:v>
      </x:c>
      <x:c r="E58" s="19" t="n">
        <x:v>0.11248852</x:v>
      </x:c>
      <x:c r="F58" s="7" t="n">
        <x:v>1</x:v>
      </x:c>
      <x:c r="G58" s="7" t="n">
        <x:v>0</x:v>
      </x:c>
      <x:c r="H58" s="7" t="n">
        <x:v>0</x:v>
      </x:c>
      <x:c r="I58" s="7" t="n">
        <x:v>0</x:v>
      </x:c>
      <x:c r="J58" s="7" t="n">
        <x:v>0</x:v>
      </x:c>
      <x:c r="K58" s="7" t="n">
        <x:v>0</x:v>
      </x:c>
      <x:c r="L58" s="26" t="n">
        <x:f>F58*'Service inputs'!B67*'Service inputs'!C67</x:f>
        <x:v>52</x:v>
      </x:c>
      <x:c r="M58" s="26" t="n">
        <x:f>F58*E58*'Service inputs'!D67</x:f>
        <x:v>0.005624426</x:v>
      </x:c>
      <x:c r="N58" s="26" t="n">
        <x:f>F58*E58*'Service inputs'!E67</x:f>
        <x:v>0.011248852</x:v>
      </x:c>
      <x:c r="O58" s="26" t="n">
        <x:f>F58*E58*'Service inputs'!F67</x:f>
        <x:v>0</x:v>
      </x:c>
      <x:c r="P58" s="26" t="n">
        <x:f>L58+F58*G58*'Service inputs'!$B$17*'Service inputs'!$B$18*'Service inputs'!$B$19+M58*('Service inputs'!$B$20*'Service inputs'!$B$21+'Service inputs'!$B$22)+N58*'Service inputs'!$B$23+F58*(H58*'Service inputs'!$B$28*'Service inputs'!$B$29+I58*'Service inputs'!$B$24*'Service inputs'!$B$25+J58*'Service inputs'!$B$26*'Service inputs'!$B$27+K58*'Service inputs'!$B$30*'Service inputs'!$B$31)</x:f>
        <x:v>53.479224038</x:v>
      </x:c>
      <x:c r="Q58" s="26" t="n">
        <x:f>O58/SUM($O$5:$O$320)*SUMIF(Workload!$A$5:$A$40,"Ecology",Workload!$G$5:$G$40)</x:f>
        <x:v>0</x:v>
      </x:c>
      <x:c r="R58" s="27" t="n">
        <x:f>P58/SUMIF(Workload!$A$5:$A$40,"Grounds",Workload!$G$5:$G$40)*Staffing!$J$5+Q58/SUMIF(Workload!$A$5:$A$40,"Ecology",Workload!$G$5:$G$40)*Staffing!$J$7</x:f>
        <x:v>5435.299833174454</x:v>
      </x:c>
      <x:c r="S58" s="7" t="n">
        <x:v>1</x:v>
      </x:c>
      <x:c r="T58" s="23" t="n">
        <x:v>0</x:v>
      </x:c>
      <x:c r="U58" s="7" t="n">
        <x:v>0</x:v>
      </x:c>
      <x:c r="V58" s="7" t="n">
        <x:v>0</x:v>
      </x:c>
      <x:c r="W58" s="7" t="str">
        <x:v>https://parks.portlandciviclab.org/parks/crossroads-community-garden-1489</x:v>
      </x:c>
    </x:row>
    <x:row r="59" ht="23" customHeight="1">
      <x:c r="A59" s="8" t="str">
        <x:v>27</x:v>
      </x:c>
      <x:c r="B59" s="8" t="str">
        <x:v>Crystal Springs Rhododendron Garden</x:v>
      </x:c>
      <x:c r="C59" s="8" t="str">
        <x:v>garden</x:v>
      </x:c>
      <x:c r="D59" s="8" t="str">
        <x:v>District 4</x:v>
      </x:c>
      <x:c r="E59" s="18" t="n">
        <x:v>9.4895708</x:v>
      </x:c>
      <x:c r="F59" s="8" t="n">
        <x:v>1</x:v>
      </x:c>
      <x:c r="G59" s="8" t="n">
        <x:v>1</x:v>
      </x:c>
      <x:c r="H59" s="8" t="n">
        <x:v>0</x:v>
      </x:c>
      <x:c r="I59" s="8" t="n">
        <x:v>0</x:v>
      </x:c>
      <x:c r="J59" s="8" t="n">
        <x:v>0</x:v>
      </x:c>
      <x:c r="K59" s="8" t="n">
        <x:v>0</x:v>
      </x:c>
      <x:c r="L59" s="24" t="n">
        <x:f>F59*'Service inputs'!B71*'Service inputs'!C71</x:f>
        <x:v>547.5</x:v>
      </x:c>
      <x:c r="M59" s="24" t="n">
        <x:f>F59*E59*'Service inputs'!D71</x:f>
        <x:v>2.3723927</x:v>
      </x:c>
      <x:c r="N59" s="24" t="n">
        <x:f>F59*E59*'Service inputs'!E71</x:f>
        <x:v>3.79582832</x:v>
      </x:c>
      <x:c r="O59" s="24" t="n">
        <x:f>F59*E59*'Service inputs'!F71</x:f>
        <x:v>2.3723927</x:v>
      </x:c>
      <x:c r="P59" s="24" t="n">
        <x:f>L59+F59*G59*'Service inputs'!$B$17*'Service inputs'!$B$18*'Service inputs'!$B$19+M59*('Service inputs'!$B$20*'Service inputs'!$B$21+'Service inputs'!$B$22)+N59*'Service inputs'!$B$23+F59*(H59*'Service inputs'!$B$28*'Service inputs'!$B$29+I59*'Service inputs'!$B$24*'Service inputs'!$B$25+J59*'Service inputs'!$B$26*'Service inputs'!$B$27+K59*'Service inputs'!$B$30*'Service inputs'!$B$31)</x:f>
        <x:v>1379.3144305</x:v>
      </x:c>
      <x:c r="Q59" s="24" t="n">
        <x:f>O59/SUM($O$5:$O$320)*SUMIF(Workload!$A$5:$A$40,"Ecology",Workload!$G$5:$G$40)</x:f>
        <x:v>24.904687606662367</x:v>
      </x:c>
      <x:c r="R59" s="25" t="n">
        <x:f>P59/SUMIF(Workload!$A$5:$A$40,"Grounds",Workload!$G$5:$G$40)*Staffing!$J$5+Q59/SUMIF(Workload!$A$5:$A$40,"Ecology",Workload!$G$5:$G$40)*Staffing!$J$7</x:f>
        <x:v>143067.36367587995</x:v>
      </x:c>
      <x:c r="S59" s="8" t="n">
        <x:v>48</x:v>
      </x:c>
      <x:c r="T59" s="22" t="n">
        <x:v>0.16666666666666666</x:v>
      </x:c>
      <x:c r="U59" s="8" t="n">
        <x:v>0</x:v>
      </x:c>
      <x:c r="V59" s="8" t="n">
        <x:v>2</x:v>
      </x:c>
      <x:c r="W59" s="8" t="str">
        <x:v>https://parks.portlandciviclab.org/parks/crystal-springs-rhododendron-garden-27</x:v>
      </x:c>
    </x:row>
    <x:row r="60" ht="23" customHeight="1">
      <x:c r="A60" s="7" t="str">
        <x:v>488</x:v>
      </x:c>
      <x:c r="B60" s="7" t="str">
        <x:v>Darcelle XV Plaza</x:v>
      </x:c>
      <x:c r="C60" s="7" t="str">
        <x:v>plaza-memorial</x:v>
      </x:c>
      <x:c r="D60" s="7" t="str">
        <x:v>District 4</x:v>
      </x:c>
      <x:c r="E60" s="19" t="n">
        <x:v>0.45976899</x:v>
      </x:c>
      <x:c r="F60" s="7" t="n">
        <x:v>1</x:v>
      </x:c>
      <x:c r="G60" s="7" t="n">
        <x:v>0</x:v>
      </x:c>
      <x:c r="H60" s="7" t="n">
        <x:v>0</x:v>
      </x:c>
      <x:c r="I60" s="7" t="n">
        <x:v>0</x:v>
      </x:c>
      <x:c r="J60" s="7" t="n">
        <x:v>0</x:v>
      </x:c>
      <x:c r="K60" s="7" t="n">
        <x:v>0</x:v>
      </x:c>
      <x:c r="L60" s="26" t="n">
        <x:f>F60*'Service inputs'!B68*'Service inputs'!C68</x:f>
        <x:v>730</x:v>
      </x:c>
      <x:c r="M60" s="26" t="n">
        <x:f>F60*E60*'Service inputs'!D68</x:f>
        <x:v>0</x:v>
      </x:c>
      <x:c r="N60" s="26" t="n">
        <x:f>F60*E60*'Service inputs'!E68</x:f>
        <x:v>0.045976899</x:v>
      </x:c>
      <x:c r="O60" s="26" t="n">
        <x:f>F60*E60*'Service inputs'!F68</x:f>
        <x:v>0</x:v>
      </x:c>
      <x:c r="P60" s="26" t="n">
        <x:f>L60+F60*G60*'Service inputs'!$B$17*'Service inputs'!$B$18*'Service inputs'!$B$19+M60*('Service inputs'!$B$20*'Service inputs'!$B$21+'Service inputs'!$B$22)+N60*'Service inputs'!$B$23+F60*(H60*'Service inputs'!$B$28*'Service inputs'!$B$29+I60*'Service inputs'!$B$24*'Service inputs'!$B$25+J60*'Service inputs'!$B$26*'Service inputs'!$B$27+K60*'Service inputs'!$B$30*'Service inputs'!$B$31)</x:f>
        <x:v>735.51722788</x:v>
      </x:c>
      <x:c r="Q60" s="26" t="n">
        <x:f>O60/SUM($O$5:$O$320)*SUMIF(Workload!$A$5:$A$40,"Ecology",Workload!$G$5:$G$40)</x:f>
        <x:v>0</x:v>
      </x:c>
      <x:c r="R60" s="27" t="n">
        <x:f>P60/SUMIF(Workload!$A$5:$A$40,"Grounds",Workload!$G$5:$G$40)*Staffing!$J$5+Q60/SUMIF(Workload!$A$5:$A$40,"Ecology",Workload!$G$5:$G$40)*Staffing!$J$7</x:f>
        <x:v>74753.45310082415</x:v>
      </x:c>
      <x:c r="S60" s="7" t="n">
        <x:v>10</x:v>
      </x:c>
      <x:c r="T60" s="23" t="n">
        <x:v>0.5</x:v>
      </x:c>
      <x:c r="U60" s="7" t="n">
        <x:v>5</x:v>
      </x:c>
      <x:c r="V60" s="7" t="n">
        <x:v>1</x:v>
      </x:c>
      <x:c r="W60" s="7" t="str">
        <x:v>https://parks.portlandciviclab.org/parks/darcelle-xv-plaza-488</x:v>
      </x:c>
    </x:row>
    <x:row r="61" ht="23" customHeight="1">
      <x:c r="A61" s="8" t="str">
        <x:v>1504</x:v>
      </x:c>
      <x:c r="B61" s="8" t="str">
        <x:v>David Douglas Community Garden</x:v>
      </x:c>
      <x:c r="C61" s="8" t="str">
        <x:v>community-garden</x:v>
      </x:c>
      <x:c r="D61" s="8" t="str">
        <x:v>District 1</x:v>
      </x:c>
      <x:c r="E61" s="18" t="n">
        <x:v>0.4239667</x:v>
      </x:c>
      <x:c r="F61" s="8" t="n">
        <x:v>1</x:v>
      </x:c>
      <x:c r="G61" s="8" t="n">
        <x:v>0</x:v>
      </x:c>
      <x:c r="H61" s="8" t="n">
        <x:v>0</x:v>
      </x:c>
      <x:c r="I61" s="8" t="n">
        <x:v>0</x:v>
      </x:c>
      <x:c r="J61" s="8" t="n">
        <x:v>0</x:v>
      </x:c>
      <x:c r="K61" s="8" t="n">
        <x:v>0</x:v>
      </x:c>
      <x:c r="L61" s="24" t="n">
        <x:f>F61*'Service inputs'!B67*'Service inputs'!C67</x:f>
        <x:v>52</x:v>
      </x:c>
      <x:c r="M61" s="24" t="n">
        <x:f>F61*E61*'Service inputs'!D67</x:f>
        <x:v>0.021198335</x:v>
      </x:c>
      <x:c r="N61" s="24" t="n">
        <x:f>F61*E61*'Service inputs'!E67</x:f>
        <x:v>0.04239667</x:v>
      </x:c>
      <x:c r="O61" s="24" t="n">
        <x:f>F61*E61*'Service inputs'!F67</x:f>
        <x:v>0</x:v>
      </x:c>
      <x:c r="P61" s="24" t="n">
        <x:f>L61+F61*G61*'Service inputs'!$B$17*'Service inputs'!$B$18*'Service inputs'!$B$19+M61*('Service inputs'!$B$20*'Service inputs'!$B$21+'Service inputs'!$B$22)+N61*'Service inputs'!$B$23+F61*(H61*'Service inputs'!$B$28*'Service inputs'!$B$29+I61*'Service inputs'!$B$24*'Service inputs'!$B$25+J61*'Service inputs'!$B$26*'Service inputs'!$B$27+K61*'Service inputs'!$B$30*'Service inputs'!$B$31)</x:f>
        <x:v>57.575162105</x:v>
      </x:c>
      <x:c r="Q61" s="24" t="n">
        <x:f>O61/SUM($O$5:$O$320)*SUMIF(Workload!$A$5:$A$40,"Ecology",Workload!$G$5:$G$40)</x:f>
        <x:v>0</x:v>
      </x:c>
      <x:c r="R61" s="25" t="n">
        <x:f>P61/SUMIF(Workload!$A$5:$A$40,"Grounds",Workload!$G$5:$G$40)*Staffing!$J$5+Q61/SUMIF(Workload!$A$5:$A$40,"Ecology",Workload!$G$5:$G$40)*Staffing!$J$7</x:f>
        <x:v>5851.58581885815</x:v>
      </x:c>
      <x:c r="S61" s="8" t="n">
        <x:v>0</x:v>
      </x:c>
      <x:c r="T61" s="22" t="n">
        <x:v>0</x:v>
      </x:c>
      <x:c r="U61" s="8" t="n">
        <x:v>0</x:v>
      </x:c>
      <x:c r="V61" s="8" t="n">
        <x:v>0</x:v>
      </x:c>
      <x:c r="W61" s="8" t="str">
        <x:v>https://parks.portlandciviclab.org/parks/david-douglas-community-garden-1504</x:v>
      </x:c>
    </x:row>
    <x:row r="62" ht="23" customHeight="1">
      <x:c r="A62" s="7" t="str">
        <x:v>33</x:v>
      </x:c>
      <x:c r="B62" s="7" t="str">
        <x:v>Dawson Park</x:v>
      </x:c>
      <x:c r="C62" s="7" t="str">
        <x:v>developed-park</x:v>
      </x:c>
      <x:c r="D62" s="7" t="str">
        <x:v>District 2</x:v>
      </x:c>
      <x:c r="E62" s="19" t="n">
        <x:v>2.04897586</x:v>
      </x:c>
      <x:c r="F62" s="7" t="n">
        <x:v>1</x:v>
      </x:c>
      <x:c r="G62" s="7" t="n">
        <x:v>1</x:v>
      </x:c>
      <x:c r="H62" s="7" t="n">
        <x:v>1</x:v>
      </x:c>
      <x:c r="I62" s="7" t="n">
        <x:v>0</x:v>
      </x:c>
      <x:c r="J62" s="7" t="n">
        <x:v>1</x:v>
      </x:c>
      <x:c r="K62" s="7" t="n">
        <x:v>1</x:v>
      </x:c>
      <x:c r="L62" s="26" t="n">
        <x:f>F62*'Service inputs'!B65*'Service inputs'!C65</x:f>
        <x:v>547.5</x:v>
      </x:c>
      <x:c r="M62" s="26" t="n">
        <x:f>F62*E62*'Service inputs'!D65</x:f>
        <x:v>1.1269367230000003</x:v>
      </x:c>
      <x:c r="N62" s="26" t="n">
        <x:f>F62*E62*'Service inputs'!E65</x:f>
        <x:v>0.10244879300000001</x:v>
      </x:c>
      <x:c r="O62" s="26" t="n">
        <x:f>F62*E62*'Service inputs'!F65</x:f>
        <x:v>0.512243965</x:v>
      </x:c>
      <x:c r="P62" s="26" t="n">
        <x:f>L62+F62*G62*'Service inputs'!$B$17*'Service inputs'!$B$18*'Service inputs'!$B$19+M62*('Service inputs'!$B$20*'Service inputs'!$B$21+'Service inputs'!$B$22)+N62*'Service inputs'!$B$23+F62*(H62*'Service inputs'!$B$28*'Service inputs'!$B$29+I62*'Service inputs'!$B$24*'Service inputs'!$B$25+J62*'Service inputs'!$B$26*'Service inputs'!$B$27+K62*'Service inputs'!$B$30*'Service inputs'!$B$31)</x:f>
        <x:v>1012.463399789</x:v>
      </x:c>
      <x:c r="Q62" s="26" t="n">
        <x:f>O62/SUM($O$5:$O$320)*SUMIF(Workload!$A$5:$A$40,"Ecology",Workload!$G$5:$G$40)</x:f>
        <x:v>5.3773879538253055</x:v>
      </x:c>
      <x:c r="R62" s="27" t="n">
        <x:f>P62/SUMIF(Workload!$A$5:$A$40,"Grounds",Workload!$G$5:$G$40)*Staffing!$J$5+Q62/SUMIF(Workload!$A$5:$A$40,"Ecology",Workload!$G$5:$G$40)*Staffing!$J$7</x:f>
        <x:v>103522.90711931714</x:v>
      </x:c>
      <x:c r="S62" s="7" t="n">
        <x:v>110</x:v>
      </x:c>
      <x:c r="T62" s="23" t="n">
        <x:v>0.00909090909090909</x:v>
      </x:c>
      <x:c r="U62" s="7" t="n">
        <x:v>0</x:v>
      </x:c>
      <x:c r="V62" s="7" t="n">
        <x:v>6</x:v>
      </x:c>
      <x:c r="W62" s="7" t="str">
        <x:v>https://parks.portlandciviclab.org/parks/dawson-park-33</x:v>
      </x:c>
    </x:row>
    <x:row r="63" ht="23" customHeight="1">
      <x:c r="A63" s="8" t="str">
        <x:v>37</x:v>
      </x:c>
      <x:c r="B63" s="8" t="str">
        <x:v>DeNorval Unthank Park</x:v>
      </x:c>
      <x:c r="C63" s="8" t="str">
        <x:v>developed-park</x:v>
      </x:c>
      <x:c r="D63" s="8" t="str">
        <x:v>District 2</x:v>
      </x:c>
      <x:c r="E63" s="18" t="n">
        <x:v>2.4970896</x:v>
      </x:c>
      <x:c r="F63" s="8" t="n">
        <x:v>1</x:v>
      </x:c>
      <x:c r="G63" s="8" t="n">
        <x:v>1</x:v>
      </x:c>
      <x:c r="H63" s="8" t="n">
        <x:v>1</x:v>
      </x:c>
      <x:c r="I63" s="8" t="n">
        <x:v>1</x:v>
      </x:c>
      <x:c r="J63" s="8" t="n">
        <x:v>2</x:v>
      </x:c>
      <x:c r="K63" s="8" t="n">
        <x:v>0</x:v>
      </x:c>
      <x:c r="L63" s="24" t="n">
        <x:f>F63*'Service inputs'!B65*'Service inputs'!C65</x:f>
        <x:v>547.5</x:v>
      </x:c>
      <x:c r="M63" s="24" t="n">
        <x:f>F63*E63*'Service inputs'!D65</x:f>
        <x:v>1.37339928</x:v>
      </x:c>
      <x:c r="N63" s="24" t="n">
        <x:f>F63*E63*'Service inputs'!E65</x:f>
        <x:v>0.12485447999999999</x:v>
      </x:c>
      <x:c r="O63" s="24" t="n">
        <x:f>F63*E63*'Service inputs'!F65</x:f>
        <x:v>0.6242724</x:v>
      </x:c>
      <x:c r="P63" s="24" t="n">
        <x:f>L63+F63*G63*'Service inputs'!$B$17*'Service inputs'!$B$18*'Service inputs'!$B$19+M63*('Service inputs'!$B$20*'Service inputs'!$B$21+'Service inputs'!$B$22)+N63*'Service inputs'!$B$23+F63*(H63*'Service inputs'!$B$28*'Service inputs'!$B$29+I63*'Service inputs'!$B$24*'Service inputs'!$B$25+J63*'Service inputs'!$B$26*'Service inputs'!$B$27+K63*'Service inputs'!$B$30*'Service inputs'!$B$31)</x:f>
        <x:v>1095.82072104</x:v>
      </x:c>
      <x:c r="Q63" s="24" t="n">
        <x:f>O63/SUM($O$5:$O$320)*SUMIF(Workload!$A$5:$A$40,"Ecology",Workload!$G$5:$G$40)</x:f>
        <x:v>6.553429836241433</x:v>
      </x:c>
      <x:c r="R63" s="25" t="n">
        <x:f>P63/SUMIF(Workload!$A$5:$A$40,"Grounds",Workload!$G$5:$G$40)*Staffing!$J$5+Q63/SUMIF(Workload!$A$5:$A$40,"Ecology",Workload!$G$5:$G$40)*Staffing!$J$7</x:f>
        <x:v>112130.94117842379</x:v>
      </x:c>
      <x:c r="S63" s="8" t="n">
        <x:v>53</x:v>
      </x:c>
      <x:c r="T63" s="22" t="n">
        <x:v>0.22641509433962265</x:v>
      </x:c>
      <x:c r="U63" s="8" t="n">
        <x:v>6</x:v>
      </x:c>
      <x:c r="V63" s="8" t="n">
        <x:v>0</x:v>
      </x:c>
      <x:c r="W63" s="8" t="str">
        <x:v>https://parks.portlandciviclab.org/parks/denorval-unthank-park-37</x:v>
      </x:c>
    </x:row>
    <x:row r="64" ht="23" customHeight="1">
      <x:c r="A64" s="7" t="str">
        <x:v>38</x:v>
      </x:c>
      <x:c r="B64" s="7" t="str">
        <x:v>DeWitt Park</x:v>
      </x:c>
      <x:c r="C64" s="7" t="str">
        <x:v>developed-park</x:v>
      </x:c>
      <x:c r="D64" s="7" t="str">
        <x:v>District 4</x:v>
      </x:c>
      <x:c r="E64" s="19" t="n">
        <x:v>0.63585112</x:v>
      </x:c>
      <x:c r="F64" s="7" t="n">
        <x:v>1</x:v>
      </x:c>
      <x:c r="G64" s="7" t="n">
        <x:v>0</x:v>
      </x:c>
      <x:c r="H64" s="7" t="n">
        <x:v>1</x:v>
      </x:c>
      <x:c r="I64" s="7" t="n">
        <x:v>0</x:v>
      </x:c>
      <x:c r="J64" s="7" t="n">
        <x:v>0</x:v>
      </x:c>
      <x:c r="K64" s="7" t="n">
        <x:v>0</x:v>
      </x:c>
      <x:c r="L64" s="26" t="n">
        <x:f>F64*'Service inputs'!B65*'Service inputs'!C65</x:f>
        <x:v>547.5</x:v>
      </x:c>
      <x:c r="M64" s="26" t="n">
        <x:f>F64*E64*'Service inputs'!D65</x:f>
        <x:v>0.349718116</x:v>
      </x:c>
      <x:c r="N64" s="26" t="n">
        <x:f>F64*E64*'Service inputs'!E65</x:f>
        <x:v>0.031792556</x:v>
      </x:c>
      <x:c r="O64" s="26" t="n">
        <x:f>F64*E64*'Service inputs'!F65</x:f>
        <x:v>0.15896278</x:v>
      </x:c>
      <x:c r="P64" s="26" t="n">
        <x:f>L64+F64*G64*'Service inputs'!$B$17*'Service inputs'!$B$18*'Service inputs'!$B$19+M64*('Service inputs'!$B$20*'Service inputs'!$B$21+'Service inputs'!$B$22)+N64*'Service inputs'!$B$23+F64*(H64*'Service inputs'!$B$28*'Service inputs'!$B$29+I64*'Service inputs'!$B$24*'Service inputs'!$B$25+J64*'Service inputs'!$B$26*'Service inputs'!$B$27+K64*'Service inputs'!$B$30*'Service inputs'!$B$31)</x:f>
        <x:v>598.3586233880001</x:v>
      </x:c>
      <x:c r="Q64" s="26" t="n">
        <x:f>O64/SUM($O$5:$O$320)*SUMIF(Workload!$A$5:$A$40,"Ecology",Workload!$G$5:$G$40)</x:f>
        <x:v>1.668744966626561</x:v>
      </x:c>
      <x:c r="R64" s="27" t="n">
        <x:f>P64/SUMIF(Workload!$A$5:$A$40,"Grounds",Workload!$G$5:$G$40)*Staffing!$J$5+Q64/SUMIF(Workload!$A$5:$A$40,"Ecology",Workload!$G$5:$G$40)*Staffing!$J$7</x:f>
        <x:v>61006.62546014115</x:v>
      </x:c>
      <x:c r="S64" s="7" t="n">
        <x:v>8</x:v>
      </x:c>
      <x:c r="T64" s="23" t="n">
        <x:v>0.125</x:v>
      </x:c>
      <x:c r="U64" s="7" t="n">
        <x:v>1</x:v>
      </x:c>
      <x:c r="V64" s="7" t="n">
        <x:v>0</x:v>
      </x:c>
      <x:c r="W64" s="7" t="str">
        <x:v>https://parks.portlandciviclab.org/parks/dewitt-park-38</x:v>
      </x:c>
    </x:row>
    <x:row r="65" ht="23" customHeight="1">
      <x:c r="A65" s="8" t="str">
        <x:v>1413</x:v>
      </x:c>
      <x:c r="B65" s="8" t="str">
        <x:v>Deardorff Creek Natural Area</x:v>
      </x:c>
      <x:c r="C65" s="8" t="str">
        <x:v>natural-area</x:v>
      </x:c>
      <x:c r="D65" s="8" t="str">
        <x:v>District 1</x:v>
      </x:c>
      <x:c r="E65" s="18" t="n">
        <x:v>9.97151033</x:v>
      </x:c>
      <x:c r="F65" s="8" t="n">
        <x:v>1</x:v>
      </x:c>
      <x:c r="G65" s="8" t="n">
        <x:v>0</x:v>
      </x:c>
      <x:c r="H65" s="8" t="n">
        <x:v>0</x:v>
      </x:c>
      <x:c r="I65" s="8" t="n">
        <x:v>0</x:v>
      </x:c>
      <x:c r="J65" s="8" t="n">
        <x:v>0</x:v>
      </x:c>
      <x:c r="K65" s="8" t="n">
        <x:v>0</x:v>
      </x:c>
      <x:c r="L65" s="24" t="n">
        <x:f>F65*'Service inputs'!B66*'Service inputs'!C66</x:f>
        <x:v>78</x:v>
      </x:c>
      <x:c r="M65" s="24" t="n">
        <x:f>F65*E65*'Service inputs'!D66</x:f>
        <x:v>0.04985755165</x:v>
      </x:c>
      <x:c r="N65" s="24" t="n">
        <x:f>F65*E65*'Service inputs'!E66</x:f>
        <x:v>0</x:v>
      </x:c>
      <x:c r="O65" s="24" t="n">
        <x:f>F65*E65*'Service inputs'!F66</x:f>
        <x:v>9.8717952267</x:v>
      </x:c>
      <x:c r="P65" s="24" t="n">
        <x:f>L65+F65*G65*'Service inputs'!$B$17*'Service inputs'!$B$18*'Service inputs'!$B$19+M65*('Service inputs'!$B$20*'Service inputs'!$B$21+'Service inputs'!$B$22)+N65*'Service inputs'!$B$23+F65*(H65*'Service inputs'!$B$28*'Service inputs'!$B$29+I65*'Service inputs'!$B$24*'Service inputs'!$B$25+J65*'Service inputs'!$B$26*'Service inputs'!$B$27+K65*'Service inputs'!$B$30*'Service inputs'!$B$31)</x:f>
        <x:v>79.14672368795</x:v>
      </x:c>
      <x:c r="Q65" s="24" t="n">
        <x:f>O65/SUM($O$5:$O$320)*SUMIF(Workload!$A$5:$A$40,"Ecology",Workload!$G$5:$G$40)</x:f>
        <x:v>103.63123113551319</x:v>
      </x:c>
      <x:c r="R65" s="25" t="n">
        <x:f>P65/SUMIF(Workload!$A$5:$A$40,"Grounds",Workload!$G$5:$G$40)*Staffing!$J$5+Q65/SUMIF(Workload!$A$5:$A$40,"Ecology",Workload!$G$5:$G$40)*Staffing!$J$7</x:f>
        <x:v>20037.636800266824</x:v>
      </x:c>
      <x:c r="S65" s="8" t="n">
        <x:v>0</x:v>
      </x:c>
      <x:c r="T65" s="22" t="n">
        <x:v>0</x:v>
      </x:c>
      <x:c r="U65" s="8" t="n">
        <x:v>0</x:v>
      </x:c>
      <x:c r="V65" s="8" t="n">
        <x:v>0</x:v>
      </x:c>
      <x:c r="W65" s="8" t="str">
        <x:v>https://parks.portlandciviclab.org/parks/deardorff-creek-natural-area-1413</x:v>
      </x:c>
    </x:row>
    <x:row r="66" ht="23" customHeight="1">
      <x:c r="A66" s="7" t="str">
        <x:v>39</x:v>
      </x:c>
      <x:c r="B66" s="7" t="str">
        <x:v>Dickinson Park</x:v>
      </x:c>
      <x:c r="C66" s="7" t="str">
        <x:v>natural-area</x:v>
      </x:c>
      <x:c r="D66" s="7" t="str">
        <x:v>District 4</x:v>
      </x:c>
      <x:c r="E66" s="19" t="n">
        <x:v>18.66048415</x:v>
      </x:c>
      <x:c r="F66" s="7" t="n">
        <x:v>1</x:v>
      </x:c>
      <x:c r="G66" s="7" t="n">
        <x:v>0</x:v>
      </x:c>
      <x:c r="H66" s="7" t="n">
        <x:v>1</x:v>
      </x:c>
      <x:c r="I66" s="7" t="n">
        <x:v>0</x:v>
      </x:c>
      <x:c r="J66" s="7" t="n">
        <x:v>0</x:v>
      </x:c>
      <x:c r="K66" s="7" t="n">
        <x:v>0</x:v>
      </x:c>
      <x:c r="L66" s="26" t="n">
        <x:f>F66*'Service inputs'!B66*'Service inputs'!C66</x:f>
        <x:v>78</x:v>
      </x:c>
      <x:c r="M66" s="26" t="n">
        <x:f>F66*E66*'Service inputs'!D66</x:f>
        <x:v>0.09330242074999999</x:v>
      </x:c>
      <x:c r="N66" s="26" t="n">
        <x:f>F66*E66*'Service inputs'!E66</x:f>
        <x:v>0</x:v>
      </x:c>
      <x:c r="O66" s="26" t="n">
        <x:f>F66*E66*'Service inputs'!F66</x:f>
        <x:v>18.4738793085</x:v>
      </x:c>
      <x:c r="P66" s="26" t="n">
        <x:f>L66+F66*G66*'Service inputs'!$B$17*'Service inputs'!$B$18*'Service inputs'!$B$19+M66*('Service inputs'!$B$20*'Service inputs'!$B$21+'Service inputs'!$B$22)+N66*'Service inputs'!$B$23+F66*(H66*'Service inputs'!$B$28*'Service inputs'!$B$29+I66*'Service inputs'!$B$24*'Service inputs'!$B$25+J66*'Service inputs'!$B$26*'Service inputs'!$B$27+K66*'Service inputs'!$B$30*'Service inputs'!$B$31)</x:f>
        <x:v>119.14595567725</x:v>
      </x:c>
      <x:c r="Q66" s="26" t="n">
        <x:f>O66/SUM($O$5:$O$320)*SUMIF(Workload!$A$5:$A$40,"Ecology",Workload!$G$5:$G$40)</x:f>
        <x:v>193.93340447446843</x:v>
      </x:c>
      <x:c r="R66" s="27" t="n">
        <x:f>P66/SUMIF(Workload!$A$5:$A$40,"Grounds",Workload!$G$5:$G$40)*Staffing!$J$5+Q66/SUMIF(Workload!$A$5:$A$40,"Ecology",Workload!$G$5:$G$40)*Staffing!$J$7</x:f>
        <x:v>34553.93872649512</x:v>
      </x:c>
      <x:c r="S66" s="7" t="n">
        <x:v>13</x:v>
      </x:c>
      <x:c r="T66" s="23" t="n">
        <x:v>0.15384615384615385</x:v>
      </x:c>
      <x:c r="U66" s="7" t="n">
        <x:v>0</x:v>
      </x:c>
      <x:c r="V66" s="7" t="n">
        <x:v>0</x:v>
      </x:c>
      <x:c r="W66" s="7" t="str">
        <x:v>https://parks.portlandciviclab.org/parks/dickinson-park-39</x:v>
      </x:c>
    </x:row>
    <x:row r="67" ht="23" customHeight="1">
      <x:c r="A67" s="8" t="str">
        <x:v>217</x:v>
      </x:c>
      <x:c r="B67" s="8" t="str">
        <x:v>Dr Martin Luther King Jr School Park</x:v>
      </x:c>
      <x:c r="C67" s="8" t="str">
        <x:v>developed-park</x:v>
      </x:c>
      <x:c r="D67" s="8" t="str">
        <x:v>District 2</x:v>
      </x:c>
      <x:c r="E67" s="18" t="n">
        <x:v>2.63711314</x:v>
      </x:c>
      <x:c r="F67" s="8" t="n">
        <x:v>1</x:v>
      </x:c>
      <x:c r="G67" s="8" t="n">
        <x:v>0</x:v>
      </x:c>
      <x:c r="H67" s="8" t="n">
        <x:v>1</x:v>
      </x:c>
      <x:c r="I67" s="8" t="n">
        <x:v>5</x:v>
      </x:c>
      <x:c r="J67" s="8" t="n">
        <x:v>3</x:v>
      </x:c>
      <x:c r="K67" s="8" t="n">
        <x:v>0</x:v>
      </x:c>
      <x:c r="L67" s="24" t="n">
        <x:f>F67*'Service inputs'!B65*'Service inputs'!C65</x:f>
        <x:v>547.5</x:v>
      </x:c>
      <x:c r="M67" s="24" t="n">
        <x:f>F67*E67*'Service inputs'!D65</x:f>
        <x:v>1.450412227</x:v>
      </x:c>
      <x:c r="N67" s="24" t="n">
        <x:f>F67*E67*'Service inputs'!E65</x:f>
        <x:v>0.131855657</x:v>
      </x:c>
      <x:c r="O67" s="24" t="n">
        <x:f>F67*E67*'Service inputs'!F65</x:f>
        <x:v>0.659278285</x:v>
      </x:c>
      <x:c r="P67" s="24" t="n">
        <x:f>L67+F67*G67*'Service inputs'!$B$17*'Service inputs'!$B$18*'Service inputs'!$B$19+M67*('Service inputs'!$B$20*'Service inputs'!$B$21+'Service inputs'!$B$22)+N67*'Service inputs'!$B$23+F67*(H67*'Service inputs'!$B$28*'Service inputs'!$B$29+I67*'Service inputs'!$B$24*'Service inputs'!$B$25+J67*'Service inputs'!$B$26*'Service inputs'!$B$27+K67*'Service inputs'!$B$30*'Service inputs'!$B$31)</x:f>
        <x:v>1214.682160061</x:v>
      </x:c>
      <x:c r="Q67" s="24" t="n">
        <x:f>O67/SUM($O$5:$O$320)*SUMIF(Workload!$A$5:$A$40,"Ecology",Workload!$G$5:$G$40)</x:f>
        <x:v>6.920911421528619</x:v>
      </x:c>
      <x:c r="R67" s="25" t="n">
        <x:f>P67/SUMIF(Workload!$A$5:$A$40,"Grounds",Workload!$G$5:$G$40)*Staffing!$J$5+Q67/SUMIF(Workload!$A$5:$A$40,"Ecology",Workload!$G$5:$G$40)*Staffing!$J$7</x:f>
        <x:v>124253.8178190636</x:v>
      </x:c>
      <x:c r="S67" s="8" t="n">
        <x:v>47</x:v>
      </x:c>
      <x:c r="T67" s="22" t="n">
        <x:v>0.2127659574468085</x:v>
      </x:c>
      <x:c r="U67" s="8" t="n">
        <x:v>1</x:v>
      </x:c>
      <x:c r="V67" s="8" t="n">
        <x:v>2</x:v>
      </x:c>
      <x:c r="W67" s="8" t="str">
        <x:v>https://parks.portlandciviclab.org/parks/dr-martin-luther-king-jr-school-park-217</x:v>
      </x:c>
    </x:row>
    <x:row r="68" ht="23" customHeight="1">
      <x:c r="A68" s="7" t="str">
        <x:v>44</x:v>
      </x:c>
      <x:c r="B68" s="7" t="str">
        <x:v>Duniway Park</x:v>
      </x:c>
      <x:c r="C68" s="7" t="str">
        <x:v>developed-park</x:v>
      </x:c>
      <x:c r="D68" s="7" t="str">
        <x:v>District 4</x:v>
      </x:c>
      <x:c r="E68" s="19" t="n">
        <x:v>14.02842719</x:v>
      </x:c>
      <x:c r="F68" s="7" t="n">
        <x:v>1</x:v>
      </x:c>
      <x:c r="G68" s="7" t="n">
        <x:v>1</x:v>
      </x:c>
      <x:c r="H68" s="7" t="n">
        <x:v>1</x:v>
      </x:c>
      <x:c r="I68" s="7" t="n">
        <x:v>4</x:v>
      </x:c>
      <x:c r="J68" s="7" t="n">
        <x:v>0</x:v>
      </x:c>
      <x:c r="K68" s="7" t="n">
        <x:v>0</x:v>
      </x:c>
      <x:c r="L68" s="26" t="n">
        <x:f>F68*'Service inputs'!B65*'Service inputs'!C65</x:f>
        <x:v>547.5</x:v>
      </x:c>
      <x:c r="M68" s="26" t="n">
        <x:f>F68*E68*'Service inputs'!D65</x:f>
        <x:v>7.7156349545000005</x:v>
      </x:c>
      <x:c r="N68" s="26" t="n">
        <x:f>F68*E68*'Service inputs'!E65</x:f>
        <x:v>0.7014213595000001</x:v>
      </x:c>
      <x:c r="O68" s="26" t="n">
        <x:f>F68*E68*'Service inputs'!F65</x:f>
        <x:v>3.5071067975</x:v>
      </x:c>
      <x:c r="P68" s="26" t="n">
        <x:f>L68+F68*G68*'Service inputs'!$B$17*'Service inputs'!$B$18*'Service inputs'!$B$19+M68*('Service inputs'!$B$20*'Service inputs'!$B$21+'Service inputs'!$B$22)+N68*'Service inputs'!$B$23+F68*(H68*'Service inputs'!$B$28*'Service inputs'!$B$29+I68*'Service inputs'!$B$24*'Service inputs'!$B$25+J68*'Service inputs'!$B$26*'Service inputs'!$B$27+K68*'Service inputs'!$B$30*'Service inputs'!$B$31)</x:f>
        <x:v>1589.8801670935</x:v>
      </x:c>
      <x:c r="Q68" s="26" t="n">
        <x:f>O68/SUM($O$5:$O$320)*SUMIF(Workload!$A$5:$A$40,"Ecology",Workload!$G$5:$G$40)</x:f>
        <x:v>36.81658571742343</x:v>
      </x:c>
      <x:c r="R68" s="27" t="n">
        <x:f>P68/SUMIF(Workload!$A$5:$A$40,"Grounds",Workload!$G$5:$G$40)*Staffing!$J$5+Q68/SUMIF(Workload!$A$5:$A$40,"Ecology",Workload!$G$5:$G$40)*Staffing!$J$7</x:f>
        <x:v>165846.58255412785</x:v>
      </x:c>
      <x:c r="S68" s="7" t="n">
        <x:v>39</x:v>
      </x:c>
      <x:c r="T68" s="23" t="n">
        <x:v>0.10256410256410256</x:v>
      </x:c>
      <x:c r="U68" s="7" t="n">
        <x:v>1</x:v>
      </x:c>
      <x:c r="V68" s="7" t="n">
        <x:v>2</x:v>
      </x:c>
      <x:c r="W68" s="7" t="str">
        <x:v>https://parks.portlandciviclab.org/parks/duniway-park-44</x:v>
      </x:c>
    </x:row>
    <x:row r="69" ht="23" customHeight="1">
      <x:c r="A69" s="8" t="str">
        <x:v>101</x:v>
      </x:c>
      <x:c r="B69" s="8" t="str">
        <x:v>Earl Boyles Park</x:v>
      </x:c>
      <x:c r="C69" s="8" t="str">
        <x:v>developed-park</x:v>
      </x:c>
      <x:c r="D69" s="8" t="str">
        <x:v>District 1</x:v>
      </x:c>
      <x:c r="E69" s="18" t="n">
        <x:v>7.83997298</x:v>
      </x:c>
      <x:c r="F69" s="8" t="n">
        <x:v>1</x:v>
      </x:c>
      <x:c r="G69" s="8" t="n">
        <x:v>0</x:v>
      </x:c>
      <x:c r="H69" s="8" t="n">
        <x:v>1</x:v>
      </x:c>
      <x:c r="I69" s="8" t="n">
        <x:v>0</x:v>
      </x:c>
      <x:c r="J69" s="8" t="n">
        <x:v>0</x:v>
      </x:c>
      <x:c r="K69" s="8" t="n">
        <x:v>1</x:v>
      </x:c>
      <x:c r="L69" s="24" t="n">
        <x:f>F69*'Service inputs'!B65*'Service inputs'!C65</x:f>
        <x:v>547.5</x:v>
      </x:c>
      <x:c r="M69" s="24" t="n">
        <x:f>F69*E69*'Service inputs'!D65</x:f>
        <x:v>4.311985139</x:v>
      </x:c>
      <x:c r="N69" s="24" t="n">
        <x:f>F69*E69*'Service inputs'!E65</x:f>
        <x:v>0.39199864900000003</x:v>
      </x:c>
      <x:c r="O69" s="24" t="n">
        <x:f>F69*E69*'Service inputs'!F65</x:f>
        <x:v>1.959993245</x:v>
      </x:c>
      <x:c r="P69" s="24" t="n">
        <x:f>L69+F69*G69*'Service inputs'!$B$17*'Service inputs'!$B$18*'Service inputs'!$B$19+M69*('Service inputs'!$B$20*'Service inputs'!$B$21+'Service inputs'!$B$22)+N69*'Service inputs'!$B$23+F69*(H69*'Service inputs'!$B$28*'Service inputs'!$B$29+I69*'Service inputs'!$B$24*'Service inputs'!$B$25+J69*'Service inputs'!$B$26*'Service inputs'!$B$27+K69*'Service inputs'!$B$30*'Service inputs'!$B$31)</x:f>
        <x:v>780.715496077</x:v>
      </x:c>
      <x:c r="Q69" s="24" t="n">
        <x:f>O69/SUM($O$5:$O$320)*SUMIF(Workload!$A$5:$A$40,"Ecology",Workload!$G$5:$G$40)</x:f>
        <x:v>20.57543823916397</x:v>
      </x:c>
      <x:c r="R69" s="25" t="n">
        <x:f>P69/SUMIF(Workload!$A$5:$A$40,"Grounds",Workload!$G$5:$G$40)*Staffing!$J$5+Q69/SUMIF(Workload!$A$5:$A$40,"Ecology",Workload!$G$5:$G$40)*Staffing!$J$7</x:f>
        <x:v>81728.40384004878</x:v>
      </x:c>
      <x:c r="S69" s="8" t="n">
        <x:v>109</x:v>
      </x:c>
      <x:c r="T69" s="22" t="n">
        <x:v>0.009174311926605505</x:v>
      </x:c>
      <x:c r="U69" s="8" t="n">
        <x:v>0</x:v>
      </x:c>
      <x:c r="V69" s="8" t="n">
        <x:v>0</x:v>
      </x:c>
      <x:c r="W69" s="8" t="str">
        <x:v>https://parks.portlandciviclab.org/parks/earl-boyles-park-101</x:v>
      </x:c>
    </x:row>
    <x:row r="70" ht="23" customHeight="1">
      <x:c r="A70" s="7" t="str">
        <x:v>34</x:v>
      </x:c>
      <x:c r="B70" s="7" t="str">
        <x:v>East Delta Park</x:v>
      </x:c>
      <x:c r="C70" s="7" t="str">
        <x:v>developed-park</x:v>
      </x:c>
      <x:c r="D70" s="7" t="str">
        <x:v>District 2</x:v>
      </x:c>
      <x:c r="E70" s="19" t="n">
        <x:v>87.46555299</x:v>
      </x:c>
      <x:c r="F70" s="7" t="n">
        <x:v>1</x:v>
      </x:c>
      <x:c r="G70" s="7" t="n">
        <x:v>0</x:v>
      </x:c>
      <x:c r="H70" s="7" t="n">
        <x:v>1</x:v>
      </x:c>
      <x:c r="I70" s="7" t="n">
        <x:v>16</x:v>
      </x:c>
      <x:c r="J70" s="7" t="n">
        <x:v>6</x:v>
      </x:c>
      <x:c r="K70" s="7" t="n">
        <x:v>0</x:v>
      </x:c>
      <x:c r="L70" s="26" t="n">
        <x:f>F70*'Service inputs'!B65*'Service inputs'!C65</x:f>
        <x:v>547.5</x:v>
      </x:c>
      <x:c r="M70" s="26" t="n">
        <x:f>F70*E70*'Service inputs'!D65</x:f>
        <x:v>48.10605414450001</x:v>
      </x:c>
      <x:c r="N70" s="26" t="n">
        <x:f>F70*E70*'Service inputs'!E65</x:f>
        <x:v>4.3732776495</x:v>
      </x:c>
      <x:c r="O70" s="26" t="n">
        <x:f>F70*E70*'Service inputs'!F65</x:f>
        <x:v>21.8663882475</x:v>
      </x:c>
      <x:c r="P70" s="26" t="n">
        <x:f>L70+F70*G70*'Service inputs'!$B$17*'Service inputs'!$B$18*'Service inputs'!$B$19+M70*('Service inputs'!$B$20*'Service inputs'!$B$21+'Service inputs'!$B$22)+N70*'Service inputs'!$B$23+F70*(H70*'Service inputs'!$B$28*'Service inputs'!$B$29+I70*'Service inputs'!$B$24*'Service inputs'!$B$25+J70*'Service inputs'!$B$26*'Service inputs'!$B$27+K70*'Service inputs'!$B$30*'Service inputs'!$B$31)</x:f>
        <x:v>4005.7325632635</x:v>
      </x:c>
      <x:c r="Q70" s="26" t="n">
        <x:f>O70/SUM($O$5:$O$320)*SUMIF(Workload!$A$5:$A$40,"Ecology",Workload!$G$5:$G$40)</x:f>
        <x:v>229.54697524991582</x:v>
      </x:c>
      <x:c r="R70" s="27" t="n">
        <x:f>P70/SUMIF(Workload!$A$5:$A$40,"Grounds",Workload!$G$5:$G$40)*Staffing!$J$5+Q70/SUMIF(Workload!$A$5:$A$40,"Ecology",Workload!$G$5:$G$40)*Staffing!$J$7</x:f>
        <x:v>433684.42664003436</x:v>
      </x:c>
      <x:c r="S70" s="7" t="n">
        <x:v>331</x:v>
      </x:c>
      <x:c r="T70" s="23" t="n">
        <x:v>0.09969788519637462</x:v>
      </x:c>
      <x:c r="U70" s="7" t="n">
        <x:v>14</x:v>
      </x:c>
      <x:c r="V70" s="7" t="n">
        <x:v>0</x:v>
      </x:c>
      <x:c r="W70" s="7" t="str">
        <x:v>https://parks.portlandciviclab.org/parks/east-delta-park-34</x:v>
      </x:c>
    </x:row>
    <x:row r="71" ht="23" customHeight="1">
      <x:c r="A71" s="8" t="str">
        <x:v>1109</x:v>
      </x:c>
      <x:c r="B71" s="8" t="str">
        <x:v>East Holladay Park</x:v>
      </x:c>
      <x:c r="C71" s="8" t="str">
        <x:v>developed-park</x:v>
      </x:c>
      <x:c r="D71" s="8" t="str">
        <x:v>District 1</x:v>
      </x:c>
      <x:c r="E71" s="18" t="n">
        <x:v>5.72555851</x:v>
      </x:c>
      <x:c r="F71" s="8" t="n">
        <x:v>1</x:v>
      </x:c>
      <x:c r="G71" s="8" t="n">
        <x:v>0</x:v>
      </x:c>
      <x:c r="H71" s="8" t="n">
        <x:v>1</x:v>
      </x:c>
      <x:c r="I71" s="8" t="n">
        <x:v>0</x:v>
      </x:c>
      <x:c r="J71" s="8" t="n">
        <x:v>0</x:v>
      </x:c>
      <x:c r="K71" s="8" t="n">
        <x:v>0</x:v>
      </x:c>
      <x:c r="L71" s="24" t="n">
        <x:f>F71*'Service inputs'!B65*'Service inputs'!C65</x:f>
        <x:v>547.5</x:v>
      </x:c>
      <x:c r="M71" s="24" t="n">
        <x:f>F71*E71*'Service inputs'!D65</x:f>
        <x:v>3.1490571805000003</x:v>
      </x:c>
      <x:c r="N71" s="24" t="n">
        <x:f>F71*E71*'Service inputs'!E65</x:f>
        <x:v>0.28627792550000003</x:v>
      </x:c>
      <x:c r="O71" s="24" t="n">
        <x:f>F71*E71*'Service inputs'!F65</x:f>
        <x:v>1.4313896275</x:v>
      </x:c>
      <x:c r="P71" s="24" t="n">
        <x:f>L71+F71*G71*'Service inputs'!$B$17*'Service inputs'!$B$18*'Service inputs'!$B$19+M71*('Service inputs'!$B$20*'Service inputs'!$B$21+'Service inputs'!$B$22)+N71*'Service inputs'!$B$23+F71*(H71*'Service inputs'!$B$28*'Service inputs'!$B$29+I71*'Service inputs'!$B$24*'Service inputs'!$B$25+J71*'Service inputs'!$B$26*'Service inputs'!$B$27+K71*'Service inputs'!$B$30*'Service inputs'!$B$31)</x:f>
        <x:v>693.2816662115</x:v>
      </x:c>
      <x:c r="Q71" s="24" t="n">
        <x:f>O71/SUM($O$5:$O$320)*SUMIF(Workload!$A$5:$A$40,"Ecology",Workload!$G$5:$G$40)</x:f>
        <x:v>15.02631141813255</x:v>
      </x:c>
      <x:c r="R71" s="25" t="n">
        <x:f>P71/SUMIF(Workload!$A$5:$A$40,"Grounds",Workload!$G$5:$G$40)*Staffing!$J$5+Q71/SUMIF(Workload!$A$5:$A$40,"Ecology",Workload!$G$5:$G$40)*Staffing!$J$7</x:f>
        <x:v>72199.94416595338</x:v>
      </x:c>
      <x:c r="S71" s="8" t="n">
        <x:v>60</x:v>
      </x:c>
      <x:c r="T71" s="22" t="n">
        <x:v>0.05</x:v>
      </x:c>
      <x:c r="U71" s="8" t="n">
        <x:v>2</x:v>
      </x:c>
      <x:c r="V71" s="8" t="n">
        <x:v>0</x:v>
      </x:c>
      <x:c r="W71" s="8" t="str">
        <x:v>https://parks.portlandciviclab.org/parks/east-holladay-park-1109</x:v>
      </x:c>
    </x:row>
    <x:row r="72" ht="23" customHeight="1">
      <x:c r="A72" s="7" t="str">
        <x:v>1494</x:v>
      </x:c>
      <x:c r="B72" s="7" t="str">
        <x:v>Eastminster Community Garden</x:v>
      </x:c>
      <x:c r="C72" s="7" t="str">
        <x:v>community-garden</x:v>
      </x:c>
      <x:c r="D72" s="7" t="str">
        <x:v>District 1</x:v>
      </x:c>
      <x:c r="E72" s="19" t="n">
        <x:v>0.61460146</x:v>
      </x:c>
      <x:c r="F72" s="7" t="n">
        <x:v>1</x:v>
      </x:c>
      <x:c r="G72" s="7" t="n">
        <x:v>0</x:v>
      </x:c>
      <x:c r="H72" s="7" t="n">
        <x:v>0</x:v>
      </x:c>
      <x:c r="I72" s="7" t="n">
        <x:v>0</x:v>
      </x:c>
      <x:c r="J72" s="7" t="n">
        <x:v>0</x:v>
      </x:c>
      <x:c r="K72" s="7" t="n">
        <x:v>0</x:v>
      </x:c>
      <x:c r="L72" s="26" t="n">
        <x:f>F72*'Service inputs'!B67*'Service inputs'!C67</x:f>
        <x:v>52</x:v>
      </x:c>
      <x:c r="M72" s="26" t="n">
        <x:f>F72*E72*'Service inputs'!D67</x:f>
        <x:v>0.030730073000000004</x:v>
      </x:c>
      <x:c r="N72" s="26" t="n">
        <x:f>F72*E72*'Service inputs'!E67</x:f>
        <x:v>0.06146014600000001</x:v>
      </x:c>
      <x:c r="O72" s="26" t="n">
        <x:f>F72*E72*'Service inputs'!F67</x:f>
        <x:v>0</x:v>
      </x:c>
      <x:c r="P72" s="26" t="n">
        <x:f>L72+F72*G72*'Service inputs'!$B$17*'Service inputs'!$B$18*'Service inputs'!$B$19+M72*('Service inputs'!$B$20*'Service inputs'!$B$21+'Service inputs'!$B$22)+N72*'Service inputs'!$B$23+F72*(H72*'Service inputs'!$B$28*'Service inputs'!$B$29+I72*'Service inputs'!$B$24*'Service inputs'!$B$25+J72*'Service inputs'!$B$26*'Service inputs'!$B$27+K72*'Service inputs'!$B$30*'Service inputs'!$B$31)</x:f>
        <x:v>60.082009199</x:v>
      </x:c>
      <x:c r="Q72" s="26" t="n">
        <x:f>O72/SUM($O$5:$O$320)*SUMIF(Workload!$A$5:$A$40,"Ecology",Workload!$G$5:$G$40)</x:f>
        <x:v>0</x:v>
      </x:c>
      <x:c r="R72" s="27" t="n">
        <x:f>P72/SUMIF(Workload!$A$5:$A$40,"Grounds",Workload!$G$5:$G$40)*Staffing!$J$5+Q72/SUMIF(Workload!$A$5:$A$40,"Ecology",Workload!$G$5:$G$40)*Staffing!$J$7</x:f>
        <x:v>6106.366359094305</x:v>
      </x:c>
      <x:c r="S72" s="7" t="n">
        <x:v>1</x:v>
      </x:c>
      <x:c r="T72" s="23" t="n">
        <x:v>0</x:v>
      </x:c>
      <x:c r="U72" s="7" t="n">
        <x:v>0</x:v>
      </x:c>
      <x:c r="V72" s="7" t="n">
        <x:v>0</x:v>
      </x:c>
      <x:c r="W72" s="7" t="str">
        <x:v>https://parks.portlandciviclab.org/parks/eastminster-community-garden-1494</x:v>
      </x:c>
    </x:row>
    <x:row r="73" ht="23" customHeight="1">
      <x:c r="A73" s="8" t="str">
        <x:v>1255</x:v>
      </x:c>
      <x:c r="B73" s="8" t="str">
        <x:v>Eastmoreland Garden</x:v>
      </x:c>
      <x:c r="C73" s="8" t="str">
        <x:v>garden</x:v>
      </x:c>
      <x:c r="D73" s="8" t="str">
        <x:v>District 4</x:v>
      </x:c>
      <x:c r="E73" s="18" t="n">
        <x:v>0.40774098</x:v>
      </x:c>
      <x:c r="F73" s="8" t="n">
        <x:v>1</x:v>
      </x:c>
      <x:c r="G73" s="8" t="n">
        <x:v>0</x:v>
      </x:c>
      <x:c r="H73" s="8" t="n">
        <x:v>0</x:v>
      </x:c>
      <x:c r="I73" s="8" t="n">
        <x:v>0</x:v>
      </x:c>
      <x:c r="J73" s="8" t="n">
        <x:v>0</x:v>
      </x:c>
      <x:c r="K73" s="8" t="n">
        <x:v>0</x:v>
      </x:c>
      <x:c r="L73" s="24" t="n">
        <x:f>F73*'Service inputs'!B71*'Service inputs'!C71</x:f>
        <x:v>547.5</x:v>
      </x:c>
      <x:c r="M73" s="24" t="n">
        <x:f>F73*E73*'Service inputs'!D71</x:f>
        <x:v>0.101935245</x:v>
      </x:c>
      <x:c r="N73" s="24" t="n">
        <x:f>F73*E73*'Service inputs'!E71</x:f>
        <x:v>0.163096392</x:v>
      </x:c>
      <x:c r="O73" s="24" t="n">
        <x:f>F73*E73*'Service inputs'!F71</x:f>
        <x:v>0.101935245</x:v>
      </x:c>
      <x:c r="P73" s="24" t="n">
        <x:f>L73+F73*G73*'Service inputs'!$B$17*'Service inputs'!$B$18*'Service inputs'!$B$19+M73*('Service inputs'!$B$20*'Service inputs'!$B$21+'Service inputs'!$B$22)+N73*'Service inputs'!$B$23+F73*(H73*'Service inputs'!$B$28*'Service inputs'!$B$29+I73*'Service inputs'!$B$24*'Service inputs'!$B$25+J73*'Service inputs'!$B$26*'Service inputs'!$B$27+K73*'Service inputs'!$B$30*'Service inputs'!$B$31)</x:f>
        <x:v>569.416077675</x:v>
      </x:c>
      <x:c r="Q73" s="24" t="n">
        <x:f>O73/SUM($O$5:$O$320)*SUMIF(Workload!$A$5:$A$40,"Ecology",Workload!$G$5:$G$40)</x:f>
        <x:v>1.0700865134316053</x:v>
      </x:c>
      <x:c r="R73" s="25" t="n">
        <x:f>P73/SUMIF(Workload!$A$5:$A$40,"Grounds",Workload!$G$5:$G$40)*Staffing!$J$5+Q73/SUMIF(Workload!$A$5:$A$40,"Ecology",Workload!$G$5:$G$40)*Staffing!$J$7</x:f>
        <x:v>57995.797797152474</x:v>
      </x:c>
      <x:c r="S73" s="8" t="n">
        <x:v>17</x:v>
      </x:c>
      <x:c r="T73" s="22" t="n">
        <x:v>0.11764705882352941</x:v>
      </x:c>
      <x:c r="U73" s="8" t="n">
        <x:v>0</x:v>
      </x:c>
      <x:c r="V73" s="8" t="n">
        <x:v>1</x:v>
      </x:c>
      <x:c r="W73" s="8" t="str">
        <x:v>https://parks.portlandciviclab.org/parks/eastmoreland-garden-1255</x:v>
      </x:c>
    </x:row>
    <x:row r="74" ht="23" customHeight="1">
      <x:c r="A74" s="7" t="str">
        <x:v>106</x:v>
      </x:c>
      <x:c r="B74" s="7" t="str">
        <x:v>Eastmoreland Golf Course</x:v>
      </x:c>
      <x:c r="C74" s="7" t="str">
        <x:v>golf-raceway</x:v>
      </x:c>
      <x:c r="D74" s="7" t="str">
        <x:v>District 4</x:v>
      </x:c>
      <x:c r="E74" s="19" t="n">
        <x:v>138.49698675</x:v>
      </x:c>
      <x:c r="F74" s="7" t="n">
        <x:v>0</x:v>
      </x:c>
      <x:c r="G74" s="7" t="n">
        <x:v>2</x:v>
      </x:c>
      <x:c r="H74" s="7" t="n">
        <x:v>0</x:v>
      </x:c>
      <x:c r="I74" s="7" t="n">
        <x:v>0</x:v>
      </x:c>
      <x:c r="J74" s="7" t="n">
        <x:v>0</x:v>
      </x:c>
      <x:c r="K74" s="7" t="n">
        <x:v>0</x:v>
      </x:c>
      <x:c r="L74" s="26" t="n">
        <x:f>F74*'Service inputs'!B72*'Service inputs'!C72</x:f>
        <x:v>0</x:v>
      </x:c>
      <x:c r="M74" s="26" t="n">
        <x:f>F74*E74*'Service inputs'!D72</x:f>
        <x:v>0</x:v>
      </x:c>
      <x:c r="N74" s="26" t="n">
        <x:f>F74*E74*'Service inputs'!E72</x:f>
        <x:v>0</x:v>
      </x:c>
      <x:c r="O74" s="26" t="n">
        <x:f>F74*E74*'Service inputs'!F72</x:f>
        <x:v>0</x:v>
      </x:c>
      <x:c r="P74" s="26" t="n">
        <x:f>L74+F74*G74*'Service inputs'!$B$17*'Service inputs'!$B$18*'Service inputs'!$B$19+M74*('Service inputs'!$B$20*'Service inputs'!$B$21+'Service inputs'!$B$22)+N74*'Service inputs'!$B$23+F74*(H74*'Service inputs'!$B$28*'Service inputs'!$B$29+I74*'Service inputs'!$B$24*'Service inputs'!$B$25+J74*'Service inputs'!$B$26*'Service inputs'!$B$27+K74*'Service inputs'!$B$30*'Service inputs'!$B$31)</x:f>
        <x:v>0</x:v>
      </x:c>
      <x:c r="Q74" s="26" t="n">
        <x:f>O74/SUM($O$5:$O$320)*SUMIF(Workload!$A$5:$A$40,"Ecology",Workload!$G$5:$G$40)</x:f>
        <x:v>0</x:v>
      </x:c>
      <x:c r="R74" s="27" t="n">
        <x:f>P74/SUMIF(Workload!$A$5:$A$40,"Grounds",Workload!$G$5:$G$40)*Staffing!$J$5+Q74/SUMIF(Workload!$A$5:$A$40,"Ecology",Workload!$G$5:$G$40)*Staffing!$J$7</x:f>
        <x:v>0</x:v>
      </x:c>
      <x:c r="S74" s="7" t="n">
        <x:v>108</x:v>
      </x:c>
      <x:c r="T74" s="23" t="n">
        <x:v>0.18518518518518517</x:v>
      </x:c>
      <x:c r="U74" s="7" t="n">
        <x:v>0</x:v>
      </x:c>
      <x:c r="V74" s="7" t="n">
        <x:v>2</x:v>
      </x:c>
      <x:c r="W74" s="7" t="str">
        <x:v>https://parks.portlandciviclab.org/parks/eastmoreland-golf-course-106</x:v>
      </x:c>
    </x:row>
    <x:row r="75" ht="23" customHeight="1">
      <x:c r="A75" s="8" t="str">
        <x:v>109</x:v>
      </x:c>
      <x:c r="B75" s="8" t="str">
        <x:v>Eastmoreland Playground Park</x:v>
      </x:c>
      <x:c r="C75" s="8" t="str">
        <x:v>developed-park</x:v>
      </x:c>
      <x:c r="D75" s="8" t="str">
        <x:v>District 4</x:v>
      </x:c>
      <x:c r="E75" s="18" t="n">
        <x:v>0.24106565</x:v>
      </x:c>
      <x:c r="F75" s="8" t="n">
        <x:v>1</x:v>
      </x:c>
      <x:c r="G75" s="8" t="n">
        <x:v>0</x:v>
      </x:c>
      <x:c r="H75" s="8" t="n">
        <x:v>1</x:v>
      </x:c>
      <x:c r="I75" s="8" t="n">
        <x:v>0</x:v>
      </x:c>
      <x:c r="J75" s="8" t="n">
        <x:v>0</x:v>
      </x:c>
      <x:c r="K75" s="8" t="n">
        <x:v>0</x:v>
      </x:c>
      <x:c r="L75" s="24" t="n">
        <x:f>F75*'Service inputs'!B65*'Service inputs'!C65</x:f>
        <x:v>547.5</x:v>
      </x:c>
      <x:c r="M75" s="24" t="n">
        <x:f>F75*E75*'Service inputs'!D65</x:f>
        <x:v>0.1325861075</x:v>
      </x:c>
      <x:c r="N75" s="24" t="n">
        <x:f>F75*E75*'Service inputs'!E65</x:f>
        <x:v>0.0120532825</x:v>
      </x:c>
      <x:c r="O75" s="24" t="n">
        <x:f>F75*E75*'Service inputs'!F65</x:f>
        <x:v>0.0602664125</x:v>
      </x:c>
      <x:c r="P75" s="24" t="n">
        <x:f>L75+F75*G75*'Service inputs'!$B$17*'Service inputs'!$B$18*'Service inputs'!$B$19+M75*('Service inputs'!$B$20*'Service inputs'!$B$21+'Service inputs'!$B$22)+N75*'Service inputs'!$B$23+F75*(H75*'Service inputs'!$B$28*'Service inputs'!$B$29+I75*'Service inputs'!$B$24*'Service inputs'!$B$25+J75*'Service inputs'!$B$26*'Service inputs'!$B$27+K75*'Service inputs'!$B$30*'Service inputs'!$B$31)</x:f>
        <x:v>590.9958743725</x:v>
      </x:c>
      <x:c r="Q75" s="24" t="n">
        <x:f>O75/SUM($O$5:$O$320)*SUMIF(Workload!$A$5:$A$40,"Ecology",Workload!$G$5:$G$40)</x:f>
        <x:v>0.6326592458688446</x:v>
      </x:c>
      <x:c r="R75" s="25" t="n">
        <x:f>P75/SUMIF(Workload!$A$5:$A$40,"Grounds",Workload!$G$5:$G$40)*Staffing!$J$5+Q75/SUMIF(Workload!$A$5:$A$40,"Ecology",Workload!$G$5:$G$40)*Staffing!$J$7</x:f>
        <x:v>60138.41060071404</x:v>
      </x:c>
      <x:c r="S75" s="8" t="n">
        <x:v>2</x:v>
      </x:c>
      <x:c r="T75" s="22" t="n">
        <x:v>0.5</x:v>
      </x:c>
      <x:c r="U75" s="8" t="n">
        <x:v>0</x:v>
      </x:c>
      <x:c r="V75" s="8" t="n">
        <x:v>0</x:v>
      </x:c>
      <x:c r="W75" s="8" t="str">
        <x:v>https://parks.portlandciviclab.org/parks/eastmoreland-playground-park-109</x:v>
      </x:c>
    </x:row>
    <x:row r="76" ht="23" customHeight="1">
      <x:c r="A76" s="7" t="str">
        <x:v>110</x:v>
      </x:c>
      <x:c r="B76" s="7" t="str">
        <x:v>Eastridge Park</x:v>
      </x:c>
      <x:c r="C76" s="7" t="str">
        <x:v>developed-park</x:v>
      </x:c>
      <x:c r="D76" s="7" t="str">
        <x:v>District 1</x:v>
      </x:c>
      <x:c r="E76" s="19" t="n">
        <x:v>3.50400036</x:v>
      </x:c>
      <x:c r="F76" s="7" t="n">
        <x:v>1</x:v>
      </x:c>
      <x:c r="G76" s="7" t="n">
        <x:v>0</x:v>
      </x:c>
      <x:c r="H76" s="7" t="n">
        <x:v>1</x:v>
      </x:c>
      <x:c r="I76" s="7" t="n">
        <x:v>0</x:v>
      </x:c>
      <x:c r="J76" s="7" t="n">
        <x:v>1</x:v>
      </x:c>
      <x:c r="K76" s="7" t="n">
        <x:v>0</x:v>
      </x:c>
      <x:c r="L76" s="26" t="n">
        <x:f>F76*'Service inputs'!B65*'Service inputs'!C65</x:f>
        <x:v>547.5</x:v>
      </x:c>
      <x:c r="M76" s="26" t="n">
        <x:f>F76*E76*'Service inputs'!D65</x:f>
        <x:v>1.9272001980000002</x:v>
      </x:c>
      <x:c r="N76" s="26" t="n">
        <x:f>F76*E76*'Service inputs'!E65</x:f>
        <x:v>0.175200018</x:v>
      </x:c>
      <x:c r="O76" s="26" t="n">
        <x:f>F76*E76*'Service inputs'!F65</x:f>
        <x:v>0.87600009</x:v>
      </x:c>
      <x:c r="P76" s="26" t="n">
        <x:f>L76+F76*G76*'Service inputs'!$B$17*'Service inputs'!$B$18*'Service inputs'!$B$19+M76*('Service inputs'!$B$20*'Service inputs'!$B$21+'Service inputs'!$B$22)+N76*'Service inputs'!$B$23+F76*(H76*'Service inputs'!$B$28*'Service inputs'!$B$29+I76*'Service inputs'!$B$24*'Service inputs'!$B$25+J76*'Service inputs'!$B$26*'Service inputs'!$B$27+K76*'Service inputs'!$B$30*'Service inputs'!$B$31)</x:f>
        <x:v>669.8496067140001</x:v>
      </x:c>
      <x:c r="Q76" s="26" t="n">
        <x:f>O76/SUM($O$5:$O$320)*SUMIF(Workload!$A$5:$A$40,"Ecology",Workload!$G$5:$G$40)</x:f>
        <x:v>9.195993810324117</x:v>
      </x:c>
      <x:c r="R76" s="27" t="n">
        <x:f>P76/SUMIF(Workload!$A$5:$A$40,"Grounds",Workload!$G$5:$G$40)*Staffing!$J$5+Q76/SUMIF(Workload!$A$5:$A$40,"Ecology",Workload!$G$5:$G$40)*Staffing!$J$7</x:f>
        <x:v>69143.6879832048</x:v>
      </x:c>
      <x:c r="S76" s="7" t="n">
        <x:v>24</x:v>
      </x:c>
      <x:c r="T76" s="23" t="n">
        <x:v>0.20833333333333334</x:v>
      </x:c>
      <x:c r="U76" s="7" t="n">
        <x:v>0</x:v>
      </x:c>
      <x:c r="V76" s="7" t="n">
        <x:v>0</x:v>
      </x:c>
      <x:c r="W76" s="7" t="str">
        <x:v>https://parks.portlandciviclab.org/parks/eastridge-park-110</x:v>
      </x:c>
    </x:row>
    <x:row r="77" ht="23" customHeight="1">
      <x:c r="A77" s="8" t="str">
        <x:v>112</x:v>
      </x:c>
      <x:c r="B77" s="8" t="str">
        <x:v>Ed Benedict Park</x:v>
      </x:c>
      <x:c r="C77" s="8" t="str">
        <x:v>developed-park</x:v>
      </x:c>
      <x:c r="D77" s="8" t="str">
        <x:v>District 1</x:v>
      </x:c>
      <x:c r="E77" s="18" t="n">
        <x:v>13.43188301</x:v>
      </x:c>
      <x:c r="F77" s="8" t="n">
        <x:v>1</x:v>
      </x:c>
      <x:c r="G77" s="8" t="n">
        <x:v>2</x:v>
      </x:c>
      <x:c r="H77" s="8" t="n">
        <x:v>1</x:v>
      </x:c>
      <x:c r="I77" s="8" t="n">
        <x:v>2</x:v>
      </x:c>
      <x:c r="J77" s="8" t="n">
        <x:v>1</x:v>
      </x:c>
      <x:c r="K77" s="8" t="n">
        <x:v>0</x:v>
      </x:c>
      <x:c r="L77" s="24" t="n">
        <x:f>F77*'Service inputs'!B65*'Service inputs'!C65</x:f>
        <x:v>547.5</x:v>
      </x:c>
      <x:c r="M77" s="24" t="n">
        <x:f>F77*E77*'Service inputs'!D65</x:f>
        <x:v>7.387535655500001</x:v>
      </x:c>
      <x:c r="N77" s="24" t="n">
        <x:f>F77*E77*'Service inputs'!E65</x:f>
        <x:v>0.6715941505</x:v>
      </x:c>
      <x:c r="O77" s="24" t="n">
        <x:f>F77*E77*'Service inputs'!F65</x:f>
        <x:v>3.3579707525</x:v>
      </x:c>
      <x:c r="P77" s="24" t="n">
        <x:f>L77+F77*G77*'Service inputs'!$B$17*'Service inputs'!$B$18*'Service inputs'!$B$19+M77*('Service inputs'!$B$20*'Service inputs'!$B$21+'Service inputs'!$B$22)+N77*'Service inputs'!$B$23+F77*(H77*'Service inputs'!$B$28*'Service inputs'!$B$29+I77*'Service inputs'!$B$24*'Service inputs'!$B$25+J77*'Service inputs'!$B$26*'Service inputs'!$B$27+K77*'Service inputs'!$B$30*'Service inputs'!$B$31)</x:f>
        <x:v>1708.5046181365</x:v>
      </x:c>
      <x:c r="Q77" s="24" t="n">
        <x:f>O77/SUM($O$5:$O$320)*SUMIF(Workload!$A$5:$A$40,"Ecology",Workload!$G$5:$G$40)</x:f>
        <x:v>35.250998952796245</x:v>
      </x:c>
      <x:c r="R77" s="25" t="n">
        <x:f>P77/SUMIF(Workload!$A$5:$A$40,"Grounds",Workload!$G$5:$G$40)*Staffing!$J$5+Q77/SUMIF(Workload!$A$5:$A$40,"Ecology",Workload!$G$5:$G$40)*Staffing!$J$7</x:f>
        <x:v>177721.6515893993</x:v>
      </x:c>
      <x:c r="S77" s="8" t="n">
        <x:v>156</x:v>
      </x:c>
      <x:c r="T77" s="22" t="n">
        <x:v>0.1282051282051282</x:v>
      </x:c>
      <x:c r="U77" s="8" t="n">
        <x:v>1</x:v>
      </x:c>
      <x:c r="V77" s="8" t="n">
        <x:v>1</x:v>
      </x:c>
      <x:c r="W77" s="8" t="str">
        <x:v>https://parks.portlandciviclab.org/parks/ed-benedict-park-112</x:v>
      </x:c>
    </x:row>
    <x:row r="78" ht="23" customHeight="1">
      <x:c r="A78" s="7" t="str">
        <x:v>1385</x:v>
      </x:c>
      <x:c r="B78" s="7" t="str">
        <x:v>Elizabeth Caruthers Park</x:v>
      </x:c>
      <x:c r="C78" s="7" t="str">
        <x:v>developed-park</x:v>
      </x:c>
      <x:c r="D78" s="7" t="str">
        <x:v>District 4</x:v>
      </x:c>
      <x:c r="E78" s="19" t="n">
        <x:v>2.12259245</x:v>
      </x:c>
      <x:c r="F78" s="7" t="n">
        <x:v>1</x:v>
      </x:c>
      <x:c r="G78" s="7" t="n">
        <x:v>0</x:v>
      </x:c>
      <x:c r="H78" s="7" t="n">
        <x:v>0</x:v>
      </x:c>
      <x:c r="I78" s="7" t="n">
        <x:v>0</x:v>
      </x:c>
      <x:c r="J78" s="7" t="n">
        <x:v>1</x:v>
      </x:c>
      <x:c r="K78" s="7" t="n">
        <x:v>1</x:v>
      </x:c>
      <x:c r="L78" s="26" t="n">
        <x:f>F78*'Service inputs'!B65*'Service inputs'!C65</x:f>
        <x:v>547.5</x:v>
      </x:c>
      <x:c r="M78" s="26" t="n">
        <x:f>F78*E78*'Service inputs'!D65</x:f>
        <x:v>1.1674258475000001</x:v>
      </x:c>
      <x:c r="N78" s="26" t="n">
        <x:f>F78*E78*'Service inputs'!E65</x:f>
        <x:v>0.1061296225</x:v>
      </x:c>
      <x:c r="O78" s="26" t="n">
        <x:f>F78*E78*'Service inputs'!F65</x:f>
        <x:v>0.5306481125</x:v>
      </x:c>
      <x:c r="P78" s="26" t="n">
        <x:f>L78+F78*G78*'Service inputs'!$B$17*'Service inputs'!$B$18*'Service inputs'!$B$19+M78*('Service inputs'!$B$20*'Service inputs'!$B$21+'Service inputs'!$B$22)+N78*'Service inputs'!$B$23+F78*(H78*'Service inputs'!$B$28*'Service inputs'!$B$29+I78*'Service inputs'!$B$24*'Service inputs'!$B$25+J78*'Service inputs'!$B$26*'Service inputs'!$B$27+K78*'Service inputs'!$B$30*'Service inputs'!$B$31)</x:f>
        <x:v>653.0863491924999</x:v>
      </x:c>
      <x:c r="Q78" s="26" t="n">
        <x:f>O78/SUM($O$5:$O$320)*SUMIF(Workload!$A$5:$A$40,"Ecology",Workload!$G$5:$G$40)</x:f>
        <x:v>5.570589334083487</x:v>
      </x:c>
      <x:c r="R78" s="27" t="n">
        <x:f>P78/SUMIF(Workload!$A$5:$A$40,"Grounds",Workload!$G$5:$G$40)*Staffing!$J$5+Q78/SUMIF(Workload!$A$5:$A$40,"Ecology",Workload!$G$5:$G$40)*Staffing!$J$7</x:f>
        <x:v>67020.39113869367</x:v>
      </x:c>
      <x:c r="S78" s="7" t="n">
        <x:v>89</x:v>
      </x:c>
      <x:c r="T78" s="23" t="n">
        <x:v>0.033707865168539325</x:v>
      </x:c>
      <x:c r="U78" s="7" t="n">
        <x:v>0</x:v>
      </x:c>
      <x:c r="V78" s="7" t="n">
        <x:v>0</x:v>
      </x:c>
      <x:c r="W78" s="7" t="str">
        <x:v>https://parks.portlandciviclab.org/parks/elizabeth-caruthers-park-1385</x:v>
      </x:c>
    </x:row>
    <x:row r="79" ht="23" customHeight="1">
      <x:c r="A79" s="8" t="str">
        <x:v>114</x:v>
      </x:c>
      <x:c r="B79" s="8" t="str">
        <x:v>Errol Heights Park</x:v>
      </x:c>
      <x:c r="C79" s="8" t="str">
        <x:v>developed-park</x:v>
      </x:c>
      <x:c r="D79" s="8" t="str">
        <x:v>District 3</x:v>
      </x:c>
      <x:c r="E79" s="18" t="n">
        <x:v>16.85507149</x:v>
      </x:c>
      <x:c r="F79" s="8" t="n">
        <x:v>1</x:v>
      </x:c>
      <x:c r="G79" s="8" t="n">
        <x:v>1</x:v>
      </x:c>
      <x:c r="H79" s="8" t="n">
        <x:v>1</x:v>
      </x:c>
      <x:c r="I79" s="8" t="n">
        <x:v>0</x:v>
      </x:c>
      <x:c r="J79" s="8" t="n">
        <x:v>0</x:v>
      </x:c>
      <x:c r="K79" s="8" t="n">
        <x:v>1</x:v>
      </x:c>
      <x:c r="L79" s="24" t="n">
        <x:f>F79*'Service inputs'!B65*'Service inputs'!C65</x:f>
        <x:v>547.5</x:v>
      </x:c>
      <x:c r="M79" s="24" t="n">
        <x:f>F79*E79*'Service inputs'!D65</x:f>
        <x:v>9.270289319500002</x:v>
      </x:c>
      <x:c r="N79" s="24" t="n">
        <x:f>F79*E79*'Service inputs'!E65</x:f>
        <x:v>0.8427535745000001</x:v>
      </x:c>
      <x:c r="O79" s="24" t="n">
        <x:f>F79*E79*'Service inputs'!F65</x:f>
        <x:v>4.2137678725</x:v>
      </x:c>
      <x:c r="P79" s="24" t="n">
        <x:f>L79+F79*G79*'Service inputs'!$B$17*'Service inputs'!$B$18*'Service inputs'!$B$19+M79*('Service inputs'!$B$20*'Service inputs'!$B$21+'Service inputs'!$B$22)+N79*'Service inputs'!$B$23+F79*(H79*'Service inputs'!$B$28*'Service inputs'!$B$29+I79*'Service inputs'!$B$24*'Service inputs'!$B$25+J79*'Service inputs'!$B$26*'Service inputs'!$B$27+K79*'Service inputs'!$B$30*'Service inputs'!$B$31)</x:f>
        <x:v>1270.5970832885</x:v>
      </x:c>
      <x:c r="Q79" s="24" t="n">
        <x:f>O79/SUM($O$5:$O$320)*SUMIF(Workload!$A$5:$A$40,"Ecology",Workload!$G$5:$G$40)</x:f>
        <x:v>44.23490786816314</x:v>
      </x:c>
      <x:c r="R79" s="25" t="n">
        <x:f>P79/SUMIF(Workload!$A$5:$A$40,"Grounds",Workload!$G$5:$G$40)*Staffing!$J$5+Q79/SUMIF(Workload!$A$5:$A$40,"Ecology",Workload!$G$5:$G$40)*Staffing!$J$7</x:f>
        <x:v>134255.162723101</x:v>
      </x:c>
      <x:c r="S79" s="8" t="n">
        <x:v>107</x:v>
      </x:c>
      <x:c r="T79" s="22" t="n">
        <x:v>0.04672897196261682</x:v>
      </x:c>
      <x:c r="U79" s="8" t="n">
        <x:v>0</x:v>
      </x:c>
      <x:c r="V79" s="8" t="n">
        <x:v>1</x:v>
      </x:c>
      <x:c r="W79" s="8" t="str">
        <x:v>https://parks.portlandciviclab.org/parks/errol-heights-park-114</x:v>
      </x:c>
    </x:row>
    <x:row r="80" ht="23" customHeight="1">
      <x:c r="A80" s="7" t="str">
        <x:v>116</x:v>
      </x:c>
      <x:c r="B80" s="7" t="str">
        <x:v>Essex Park</x:v>
      </x:c>
      <x:c r="C80" s="7" t="str">
        <x:v>developed-park</x:v>
      </x:c>
      <x:c r="D80" s="7" t="str">
        <x:v>District 3</x:v>
      </x:c>
      <x:c r="E80" s="19" t="n">
        <x:v>4.42980363</x:v>
      </x:c>
      <x:c r="F80" s="7" t="n">
        <x:v>1</x:v>
      </x:c>
      <x:c r="G80" s="7" t="n">
        <x:v>1</x:v>
      </x:c>
      <x:c r="H80" s="7" t="n">
        <x:v>1</x:v>
      </x:c>
      <x:c r="I80" s="7" t="n">
        <x:v>1</x:v>
      </x:c>
      <x:c r="J80" s="7" t="n">
        <x:v>3</x:v>
      </x:c>
      <x:c r="K80" s="7" t="n">
        <x:v>1</x:v>
      </x:c>
      <x:c r="L80" s="26" t="n">
        <x:f>F80*'Service inputs'!B65*'Service inputs'!C65</x:f>
        <x:v>547.5</x:v>
      </x:c>
      <x:c r="M80" s="26" t="n">
        <x:f>F80*E80*'Service inputs'!D65</x:f>
        <x:v>2.4363919965000003</x:v>
      </x:c>
      <x:c r="N80" s="26" t="n">
        <x:f>F80*E80*'Service inputs'!E65</x:f>
        <x:v>0.22149018150000002</x:v>
      </x:c>
      <x:c r="O80" s="26" t="n">
        <x:f>F80*E80*'Service inputs'!F65</x:f>
        <x:v>1.1074509075</x:v>
      </x:c>
      <x:c r="P80" s="26" t="n">
        <x:f>L80+F80*G80*'Service inputs'!$B$17*'Service inputs'!$B$18*'Service inputs'!$B$19+M80*('Service inputs'!$B$20*'Service inputs'!$B$21+'Service inputs'!$B$22)+N80*'Service inputs'!$B$23+F80*(H80*'Service inputs'!$B$28*'Service inputs'!$B$29+I80*'Service inputs'!$B$24*'Service inputs'!$B$25+J80*'Service inputs'!$B$26*'Service inputs'!$B$27+K80*'Service inputs'!$B$30*'Service inputs'!$B$31)</x:f>
        <x:v>1197.8658376995</x:v>
      </x:c>
      <x:c r="Q80" s="26" t="n">
        <x:f>O80/SUM($O$5:$O$320)*SUMIF(Workload!$A$5:$A$40,"Ecology",Workload!$G$5:$G$40)</x:f>
        <x:v>11.625697082528642</x:v>
      </x:c>
      <x:c r="R80" s="27" t="n">
        <x:f>P80/SUMIF(Workload!$A$5:$A$40,"Grounds",Workload!$G$5:$G$40)*Staffing!$J$5+Q80/SUMIF(Workload!$A$5:$A$40,"Ecology",Workload!$G$5:$G$40)*Staffing!$J$7</x:f>
        <x:v>123089.21345781116</x:v>
      </x:c>
      <x:c r="S80" s="7" t="n">
        <x:v>65</x:v>
      </x:c>
      <x:c r="T80" s="23" t="n">
        <x:v>0.26153846153846155</x:v>
      </x:c>
      <x:c r="U80" s="7" t="n">
        <x:v>0</x:v>
      </x:c>
      <x:c r="V80" s="7" t="n">
        <x:v>0</x:v>
      </x:c>
      <x:c r="W80" s="7" t="str">
        <x:v>https://parks.portlandciviclab.org/parks/essex-park-116</x:v>
      </x:c>
    </x:row>
    <x:row r="81" ht="23" customHeight="1">
      <x:c r="A81" s="8" t="str">
        <x:v>117</x:v>
      </x:c>
      <x:c r="B81" s="8" t="str">
        <x:v>Everett Community Garden</x:v>
      </x:c>
      <x:c r="C81" s="8" t="str">
        <x:v>community-garden</x:v>
      </x:c>
      <x:c r="D81" s="8" t="str">
        <x:v>District 3</x:v>
      </x:c>
      <x:c r="E81" s="18" t="n">
        <x:v>0.3687724</x:v>
      </x:c>
      <x:c r="F81" s="8" t="n">
        <x:v>1</x:v>
      </x:c>
      <x:c r="G81" s="8" t="n">
        <x:v>0</x:v>
      </x:c>
      <x:c r="H81" s="8" t="n">
        <x:v>0</x:v>
      </x:c>
      <x:c r="I81" s="8" t="n">
        <x:v>0</x:v>
      </x:c>
      <x:c r="J81" s="8" t="n">
        <x:v>0</x:v>
      </x:c>
      <x:c r="K81" s="8" t="n">
        <x:v>0</x:v>
      </x:c>
      <x:c r="L81" s="24" t="n">
        <x:f>F81*'Service inputs'!B67*'Service inputs'!C67</x:f>
        <x:v>52</x:v>
      </x:c>
      <x:c r="M81" s="24" t="n">
        <x:f>F81*E81*'Service inputs'!D67</x:f>
        <x:v>0.01843862</x:v>
      </x:c>
      <x:c r="N81" s="24" t="n">
        <x:f>F81*E81*'Service inputs'!E67</x:f>
        <x:v>0.03687724</x:v>
      </x:c>
      <x:c r="O81" s="24" t="n">
        <x:f>F81*E81*'Service inputs'!F67</x:f>
        <x:v>0</x:v>
      </x:c>
      <x:c r="P81" s="24" t="n">
        <x:f>L81+F81*G81*'Service inputs'!$B$17*'Service inputs'!$B$18*'Service inputs'!$B$19+M81*('Service inputs'!$B$20*'Service inputs'!$B$21+'Service inputs'!$B$22)+N81*'Service inputs'!$B$23+F81*(H81*'Service inputs'!$B$28*'Service inputs'!$B$29+I81*'Service inputs'!$B$24*'Service inputs'!$B$25+J81*'Service inputs'!$B$26*'Service inputs'!$B$27+K81*'Service inputs'!$B$30*'Service inputs'!$B$31)</x:f>
        <x:v>56.849357059999996</x:v>
      </x:c>
      <x:c r="Q81" s="24" t="n">
        <x:f>O81/SUM($O$5:$O$320)*SUMIF(Workload!$A$5:$A$40,"Ecology",Workload!$G$5:$G$40)</x:f>
        <x:v>0</x:v>
      </x:c>
      <x:c r="R81" s="25" t="n">
        <x:f>P81/SUMIF(Workload!$A$5:$A$40,"Grounds",Workload!$G$5:$G$40)*Staffing!$J$5+Q81/SUMIF(Workload!$A$5:$A$40,"Ecology",Workload!$G$5:$G$40)*Staffing!$J$7</x:f>
        <x:v>5777.819452367817</x:v>
      </x:c>
      <x:c r="S81" s="8" t="n">
        <x:v>4</x:v>
      </x:c>
      <x:c r="T81" s="22" t="n">
        <x:v>0.75</x:v>
      </x:c>
      <x:c r="U81" s="8" t="n">
        <x:v>2</x:v>
      </x:c>
      <x:c r="V81" s="8" t="n">
        <x:v>0</x:v>
      </x:c>
      <x:c r="W81" s="8" t="str">
        <x:v>https://parks.portlandciviclab.org/parks/everett-community-garden-117</x:v>
      </x:c>
    </x:row>
    <x:row r="82" ht="23" customHeight="1">
      <x:c r="A82" s="7" t="str">
        <x:v>1246</x:v>
      </x:c>
      <x:c r="B82" s="7" t="str">
        <x:v>Exeter Property</x:v>
      </x:c>
      <x:c r="C82" s="7" t="str">
        <x:v>uncertain</x:v>
      </x:c>
      <x:c r="D82" s="7" t="str">
        <x:v>District 2</x:v>
      </x:c>
      <x:c r="E82" s="19" t="n">
        <x:v>0.27640536</x:v>
      </x:c>
      <x:c r="F82" s="7" t="n">
        <x:v>1</x:v>
      </x:c>
      <x:c r="G82" s="7" t="n">
        <x:v>0</x:v>
      </x:c>
      <x:c r="H82" s="7" t="n">
        <x:v>0</x:v>
      </x:c>
      <x:c r="I82" s="7" t="n">
        <x:v>0</x:v>
      </x:c>
      <x:c r="J82" s="7" t="n">
        <x:v>0</x:v>
      </x:c>
      <x:c r="K82" s="7" t="n">
        <x:v>0</x:v>
      </x:c>
      <x:c r="L82" s="26" t="n">
        <x:f>F82*'Service inputs'!B74*'Service inputs'!C74</x:f>
        <x:v>52</x:v>
      </x:c>
      <x:c r="M82" s="26" t="n">
        <x:f>F82*E82*'Service inputs'!D74</x:f>
        <x:v>0.027640536</x:v>
      </x:c>
      <x:c r="N82" s="26" t="n">
        <x:f>F82*E82*'Service inputs'!E74</x:f>
        <x:v>0.0055281072</x:v>
      </x:c>
      <x:c r="O82" s="26" t="n">
        <x:f>F82*E82*'Service inputs'!F74</x:f>
        <x:v>0.13820268</x:v>
      </x:c>
      <x:c r="P82" s="26" t="n">
        <x:f>L82+F82*G82*'Service inputs'!$B$17*'Service inputs'!$B$18*'Service inputs'!$B$19+M82*('Service inputs'!$B$20*'Service inputs'!$B$21+'Service inputs'!$B$22)+N82*'Service inputs'!$B$23+F82*(H82*'Service inputs'!$B$28*'Service inputs'!$B$29+I82*'Service inputs'!$B$24*'Service inputs'!$B$25+J82*'Service inputs'!$B$26*'Service inputs'!$B$27+K82*'Service inputs'!$B$30*'Service inputs'!$B$31)</x:f>
        <x:v>53.299105192000006</x:v>
      </x:c>
      <x:c r="Q82" s="26" t="n">
        <x:f>O82/SUM($O$5:$O$320)*SUMIF(Workload!$A$5:$A$40,"Ecology",Workload!$G$5:$G$40)</x:f>
        <x:v>1.4508114831931176</x:v>
      </x:c>
      <x:c r="R82" s="27" t="n">
        <x:f>P82/SUMIF(Workload!$A$5:$A$40,"Grounds",Workload!$G$5:$G$40)*Staffing!$J$5+Q82/SUMIF(Workload!$A$5:$A$40,"Ecology",Workload!$G$5:$G$40)*Staffing!$J$7</x:f>
        <x:v>5584.901779118641</x:v>
      </x:c>
      <x:c r="S82" s="7" t="n">
        <x:v>0</x:v>
      </x:c>
      <x:c r="T82" s="23" t="n">
        <x:v>0</x:v>
      </x:c>
      <x:c r="U82" s="7" t="n">
        <x:v>0</x:v>
      </x:c>
      <x:c r="V82" s="7" t="n">
        <x:v>0</x:v>
      </x:c>
      <x:c r="W82" s="7" t="str">
        <x:v>https://parks.portlandciviclab.org/parks/exeter-property-1246</x:v>
      </x:c>
    </x:row>
    <x:row r="83" ht="23" customHeight="1">
      <x:c r="A83" s="8" t="str">
        <x:v>118</x:v>
      </x:c>
      <x:c r="B83" s="8" t="str">
        <x:v>Fanno Creek Natural Area</x:v>
      </x:c>
      <x:c r="C83" s="8" t="str">
        <x:v>natural-area</x:v>
      </x:c>
      <x:c r="D83" s="8" t="str">
        <x:v>District 4</x:v>
      </x:c>
      <x:c r="E83" s="18" t="n">
        <x:v>7.3684285</x:v>
      </x:c>
      <x:c r="F83" s="8" t="n">
        <x:v>1</x:v>
      </x:c>
      <x:c r="G83" s="8" t="n">
        <x:v>0</x:v>
      </x:c>
      <x:c r="H83" s="8" t="n">
        <x:v>0</x:v>
      </x:c>
      <x:c r="I83" s="8" t="n">
        <x:v>0</x:v>
      </x:c>
      <x:c r="J83" s="8" t="n">
        <x:v>0</x:v>
      </x:c>
      <x:c r="K83" s="8" t="n">
        <x:v>0</x:v>
      </x:c>
      <x:c r="L83" s="24" t="n">
        <x:f>F83*'Service inputs'!B66*'Service inputs'!C66</x:f>
        <x:v>78</x:v>
      </x:c>
      <x:c r="M83" s="24" t="n">
        <x:f>F83*E83*'Service inputs'!D66</x:f>
        <x:v>0.0368421425</x:v>
      </x:c>
      <x:c r="N83" s="24" t="n">
        <x:f>F83*E83*'Service inputs'!E66</x:f>
        <x:v>0</x:v>
      </x:c>
      <x:c r="O83" s="24" t="n">
        <x:f>F83*E83*'Service inputs'!F66</x:f>
        <x:v>7.294744215000001</x:v>
      </x:c>
      <x:c r="P83" s="24" t="n">
        <x:f>L83+F83*G83*'Service inputs'!$B$17*'Service inputs'!$B$18*'Service inputs'!$B$19+M83*('Service inputs'!$B$20*'Service inputs'!$B$21+'Service inputs'!$B$22)+N83*'Service inputs'!$B$23+F83*(H83*'Service inputs'!$B$28*'Service inputs'!$B$29+I83*'Service inputs'!$B$24*'Service inputs'!$B$25+J83*'Service inputs'!$B$26*'Service inputs'!$B$27+K83*'Service inputs'!$B$30*'Service inputs'!$B$31)</x:f>
        <x:v>78.8473692775</x:v>
      </x:c>
      <x:c r="Q83" s="24" t="n">
        <x:f>O83/SUM($O$5:$O$320)*SUMIF(Workload!$A$5:$A$40,"Ecology",Workload!$G$5:$G$40)</x:f>
        <x:v>76.57810017923362</x:v>
      </x:c>
      <x:c r="R83" s="25" t="n">
        <x:f>P83/SUMIF(Workload!$A$5:$A$40,"Grounds",Workload!$G$5:$G$40)*Staffing!$J$5+Q83/SUMIF(Workload!$A$5:$A$40,"Ecology",Workload!$G$5:$G$40)*Staffing!$J$7</x:f>
        <x:v>16876.247009875984</x:v>
      </x:c>
      <x:c r="S83" s="8" t="n">
        <x:v>0</x:v>
      </x:c>
      <x:c r="T83" s="22" t="n">
        <x:v>0</x:v>
      </x:c>
      <x:c r="U83" s="8" t="n">
        <x:v>0</x:v>
      </x:c>
      <x:c r="V83" s="8" t="n">
        <x:v>0</x:v>
      </x:c>
      <x:c r="W83" s="8" t="str">
        <x:v>https://parks.portlandciviclab.org/parks/fanno-creek-natural-area-118</x:v>
      </x:c>
    </x:row>
    <x:row r="84" ht="23" customHeight="1">
      <x:c r="A84" s="7" t="str">
        <x:v>119</x:v>
      </x:c>
      <x:c r="B84" s="7" t="str">
        <x:v>Farragut Park</x:v>
      </x:c>
      <x:c r="C84" s="7" t="str">
        <x:v>developed-park</x:v>
      </x:c>
      <x:c r="D84" s="7" t="str">
        <x:v>District 2</x:v>
      </x:c>
      <x:c r="E84" s="19" t="n">
        <x:v>13.97689765</x:v>
      </x:c>
      <x:c r="F84" s="7" t="n">
        <x:v>1</x:v>
      </x:c>
      <x:c r="G84" s="7" t="n">
        <x:v>2</x:v>
      </x:c>
      <x:c r="H84" s="7" t="n">
        <x:v>1</x:v>
      </x:c>
      <x:c r="I84" s="7" t="n">
        <x:v>1</x:v>
      </x:c>
      <x:c r="J84" s="7" t="n">
        <x:v>3</x:v>
      </x:c>
      <x:c r="K84" s="7" t="n">
        <x:v>1</x:v>
      </x:c>
      <x:c r="L84" s="26" t="n">
        <x:f>F84*'Service inputs'!B65*'Service inputs'!C65</x:f>
        <x:v>547.5</x:v>
      </x:c>
      <x:c r="M84" s="26" t="n">
        <x:f>F84*E84*'Service inputs'!D65</x:f>
        <x:v>7.6872937075</x:v>
      </x:c>
      <x:c r="N84" s="26" t="n">
        <x:f>F84*E84*'Service inputs'!E65</x:f>
        <x:v>0.6988448825</x:v>
      </x:c>
      <x:c r="O84" s="26" t="n">
        <x:f>F84*E84*'Service inputs'!F65</x:f>
        <x:v>3.4942244125</x:v>
      </x:c>
      <x:c r="P84" s="26" t="n">
        <x:f>L84+F84*G84*'Service inputs'!$B$17*'Service inputs'!$B$18*'Service inputs'!$B$19+M84*('Service inputs'!$B$20*'Service inputs'!$B$21+'Service inputs'!$B$22)+N84*'Service inputs'!$B$23+F84*(H84*'Service inputs'!$B$28*'Service inputs'!$B$29+I84*'Service inputs'!$B$24*'Service inputs'!$B$25+J84*'Service inputs'!$B$26*'Service inputs'!$B$27+K84*'Service inputs'!$B$30*'Service inputs'!$B$31)</x:f>
        <x:v>1697.6691411724998</x:v>
      </x:c>
      <x:c r="Q84" s="26" t="n">
        <x:f>O84/SUM($O$5:$O$320)*SUMIF(Workload!$A$5:$A$40,"Ecology",Workload!$G$5:$G$40)</x:f>
        <x:v>36.68135019168026</x:v>
      </x:c>
      <x:c r="R84" s="27" t="n">
        <x:f>P84/SUMIF(Workload!$A$5:$A$40,"Grounds",Workload!$G$5:$G$40)*Staffing!$J$5+Q84/SUMIF(Workload!$A$5:$A$40,"Ecology",Workload!$G$5:$G$40)*Staffing!$J$7</x:f>
        <x:v>176785.94044260352</x:v>
      </x:c>
      <x:c r="S84" s="7" t="n">
        <x:v>111</x:v>
      </x:c>
      <x:c r="T84" s="23" t="n">
        <x:v>0.12612612612612611</x:v>
      </x:c>
      <x:c r="U84" s="7" t="n">
        <x:v>4</x:v>
      </x:c>
      <x:c r="V84" s="7" t="n">
        <x:v>0</x:v>
      </x:c>
      <x:c r="W84" s="7" t="str">
        <x:v>https://parks.portlandciviclab.org/parks/farragut-park-119</x:v>
      </x:c>
    </x:row>
    <x:row r="85" ht="23" customHeight="1">
      <x:c r="A85" s="8" t="str">
        <x:v>120</x:v>
      </x:c>
      <x:c r="B85" s="8" t="str">
        <x:v>Fernhill Park</x:v>
      </x:c>
      <x:c r="C85" s="8" t="str">
        <x:v>developed-park</x:v>
      </x:c>
      <x:c r="D85" s="8" t="str">
        <x:v>District 2</x:v>
      </x:c>
      <x:c r="E85" s="18" t="n">
        <x:v>26.70782896</x:v>
      </x:c>
      <x:c r="F85" s="8" t="n">
        <x:v>1</x:v>
      </x:c>
      <x:c r="G85" s="8" t="n">
        <x:v>1</x:v>
      </x:c>
      <x:c r="H85" s="8" t="n">
        <x:v>1</x:v>
      </x:c>
      <x:c r="I85" s="8" t="n">
        <x:v>6</x:v>
      </x:c>
      <x:c r="J85" s="8" t="n">
        <x:v>2</x:v>
      </x:c>
      <x:c r="K85" s="8" t="n">
        <x:v>1</x:v>
      </x:c>
      <x:c r="L85" s="24" t="n">
        <x:f>F85*'Service inputs'!B65*'Service inputs'!C65</x:f>
        <x:v>547.5</x:v>
      </x:c>
      <x:c r="M85" s="24" t="n">
        <x:f>F85*E85*'Service inputs'!D65</x:f>
        <x:v>14.689305928000001</x:v>
      </x:c>
      <x:c r="N85" s="24" t="n">
        <x:f>F85*E85*'Service inputs'!E65</x:f>
        <x:v>1.3353914480000002</x:v>
      </x:c>
      <x:c r="O85" s="24" t="n">
        <x:f>F85*E85*'Service inputs'!F65</x:f>
        <x:v>6.67695724</x:v>
      </x:c>
      <x:c r="P85" s="24" t="n">
        <x:f>L85+F85*G85*'Service inputs'!$B$17*'Service inputs'!$B$18*'Service inputs'!$B$19+M85*('Service inputs'!$B$20*'Service inputs'!$B$21+'Service inputs'!$B$22)+N85*'Service inputs'!$B$23+F85*(H85*'Service inputs'!$B$28*'Service inputs'!$B$29+I85*'Service inputs'!$B$24*'Service inputs'!$B$25+J85*'Service inputs'!$B$26*'Service inputs'!$B$27+K85*'Service inputs'!$B$30*'Service inputs'!$B$31)</x:f>
        <x:v>2120.351010104</x:v>
      </x:c>
      <x:c r="Q85" s="24" t="n">
        <x:f>O85/SUM($O$5:$O$320)*SUMIF(Workload!$A$5:$A$40,"Ecology",Workload!$G$5:$G$40)</x:f>
        <x:v>70.09275244576607</x:v>
      </x:c>
      <x:c r="R85" s="25" t="n">
        <x:f>P85/SUMIF(Workload!$A$5:$A$40,"Grounds",Workload!$G$5:$G$40)*Staffing!$J$5+Q85/SUMIF(Workload!$A$5:$A$40,"Ecology",Workload!$G$5:$G$40)*Staffing!$J$7</x:f>
        <x:v>223611.56225389885</x:v>
      </x:c>
      <x:c r="S85" s="8" t="n">
        <x:v>95</x:v>
      </x:c>
      <x:c r="T85" s="22" t="n">
        <x:v>0.09473684210526316</x:v>
      </x:c>
      <x:c r="U85" s="8" t="n">
        <x:v>3</x:v>
      </x:c>
      <x:c r="V85" s="8" t="n">
        <x:v>0</x:v>
      </x:c>
      <x:c r="W85" s="8" t="str">
        <x:v>https://parks.portlandciviclab.org/parks/fernhill-park-120</x:v>
      </x:c>
    </x:row>
    <x:row r="86" ht="23" customHeight="1">
      <x:c r="A86" s="7" t="str">
        <x:v>122</x:v>
      </x:c>
      <x:c r="B86" s="7" t="str">
        <x:v>Firehouse Theater</x:v>
      </x:c>
      <x:c r="C86" s="7" t="str">
        <x:v>facility-site</x:v>
      </x:c>
      <x:c r="D86" s="7" t="str">
        <x:v>District 4</x:v>
      </x:c>
      <x:c r="E86" s="19" t="n">
        <x:v>0.18365605</x:v>
      </x:c>
      <x:c r="F86" s="7" t="n">
        <x:v>1</x:v>
      </x:c>
      <x:c r="G86" s="7" t="n">
        <x:v>0</x:v>
      </x:c>
      <x:c r="H86" s="7" t="n">
        <x:v>0</x:v>
      </x:c>
      <x:c r="I86" s="7" t="n">
        <x:v>0</x:v>
      </x:c>
      <x:c r="J86" s="7" t="n">
        <x:v>0</x:v>
      </x:c>
      <x:c r="K86" s="7" t="n">
        <x:v>0</x:v>
      </x:c>
      <x:c r="L86" s="26" t="n">
        <x:f>F86*'Service inputs'!B69*'Service inputs'!C69</x:f>
        <x:v>260</x:v>
      </x:c>
      <x:c r="M86" s="26" t="n">
        <x:f>F86*E86*'Service inputs'!D69</x:f>
        <x:v>0.018365605</x:v>
      </x:c>
      <x:c r="N86" s="26" t="n">
        <x:f>F86*E86*'Service inputs'!E69</x:f>
        <x:v>0.018365605</x:v>
      </x:c>
      <x:c r="O86" s="26" t="n">
        <x:f>F86*E86*'Service inputs'!F69</x:f>
        <x:v>0</x:v>
      </x:c>
      <x:c r="P86" s="26" t="n">
        <x:f>L86+F86*G86*'Service inputs'!$B$17*'Service inputs'!$B$18*'Service inputs'!$B$19+M86*('Service inputs'!$B$20*'Service inputs'!$B$21+'Service inputs'!$B$22)+N86*'Service inputs'!$B$23+F86*(H86*'Service inputs'!$B$28*'Service inputs'!$B$29+I86*'Service inputs'!$B$24*'Service inputs'!$B$25+J86*'Service inputs'!$B$26*'Service inputs'!$B$27+K86*'Service inputs'!$B$30*'Service inputs'!$B$31)</x:f>
        <x:v>262.626281515</x:v>
      </x:c>
      <x:c r="Q86" s="26" t="n">
        <x:f>O86/SUM($O$5:$O$320)*SUMIF(Workload!$A$5:$A$40,"Ecology",Workload!$G$5:$G$40)</x:f>
        <x:v>0</x:v>
      </x:c>
      <x:c r="R86" s="27" t="n">
        <x:f>P86/SUMIF(Workload!$A$5:$A$40,"Grounds",Workload!$G$5:$G$40)*Staffing!$J$5+Q86/SUMIF(Workload!$A$5:$A$40,"Ecology",Workload!$G$5:$G$40)*Staffing!$J$7</x:f>
        <x:v>26691.722061850065</x:v>
      </x:c>
      <x:c r="S86" s="7" t="n">
        <x:v>0</x:v>
      </x:c>
      <x:c r="T86" s="23" t="n">
        <x:v>0</x:v>
      </x:c>
      <x:c r="U86" s="7" t="n">
        <x:v>0</x:v>
      </x:c>
      <x:c r="V86" s="7" t="n">
        <x:v>0</x:v>
      </x:c>
      <x:c r="W86" s="7" t="str">
        <x:v>https://parks.portlandciviclab.org/parks/firehouse-theater-122</x:v>
      </x:c>
    </x:row>
    <x:row r="87" ht="23" customHeight="1">
      <x:c r="A87" s="8" t="str">
        <x:v>123</x:v>
      </x:c>
      <x:c r="B87" s="8" t="str">
        <x:v>Flavel Park</x:v>
      </x:c>
      <x:c r="C87" s="8" t="str">
        <x:v>developed-park</x:v>
      </x:c>
      <x:c r="D87" s="8" t="str">
        <x:v>District 3</x:v>
      </x:c>
      <x:c r="E87" s="18" t="n">
        <x:v>4.20265726</x:v>
      </x:c>
      <x:c r="F87" s="8" t="n">
        <x:v>1</x:v>
      </x:c>
      <x:c r="G87" s="8" t="n">
        <x:v>0</x:v>
      </x:c>
      <x:c r="H87" s="8" t="n">
        <x:v>1</x:v>
      </x:c>
      <x:c r="I87" s="8" t="n">
        <x:v>1</x:v>
      </x:c>
      <x:c r="J87" s="8" t="n">
        <x:v>0</x:v>
      </x:c>
      <x:c r="K87" s="8" t="n">
        <x:v>0</x:v>
      </x:c>
      <x:c r="L87" s="24" t="n">
        <x:f>F87*'Service inputs'!B65*'Service inputs'!C65</x:f>
        <x:v>547.5</x:v>
      </x:c>
      <x:c r="M87" s="24" t="n">
        <x:f>F87*E87*'Service inputs'!D65</x:f>
        <x:v>2.311461493</x:v>
      </x:c>
      <x:c r="N87" s="24" t="n">
        <x:f>F87*E87*'Service inputs'!E65</x:f>
        <x:v>0.210132863</x:v>
      </x:c>
      <x:c r="O87" s="24" t="n">
        <x:f>F87*E87*'Service inputs'!F65</x:f>
        <x:v>1.050664315</x:v>
      </x:c>
      <x:c r="P87" s="24" t="n">
        <x:f>L87+F87*G87*'Service inputs'!$B$17*'Service inputs'!$B$18*'Service inputs'!$B$19+M87*('Service inputs'!$B$20*'Service inputs'!$B$21+'Service inputs'!$B$22)+N87*'Service inputs'!$B$23+F87*(H87*'Service inputs'!$B$28*'Service inputs'!$B$29+I87*'Service inputs'!$B$24*'Service inputs'!$B$25+J87*'Service inputs'!$B$26*'Service inputs'!$B$27+K87*'Service inputs'!$B$30*'Service inputs'!$B$31)</x:f>
        <x:v>769.879557899</x:v>
      </x:c>
      <x:c r="Q87" s="24" t="n">
        <x:f>O87/SUM($O$5:$O$320)*SUMIF(Workload!$A$5:$A$40,"Ecology",Workload!$G$5:$G$40)</x:f>
        <x:v>11.029567973524326</x:v>
      </x:c>
      <x:c r="R87" s="25" t="n">
        <x:f>P87/SUMIF(Workload!$A$5:$A$40,"Grounds",Workload!$G$5:$G$40)*Staffing!$J$5+Q87/SUMIF(Workload!$A$5:$A$40,"Ecology",Workload!$G$5:$G$40)*Staffing!$J$7</x:f>
        <x:v>79522.32453354006</x:v>
      </x:c>
      <x:c r="S87" s="8" t="n">
        <x:v>13</x:v>
      </x:c>
      <x:c r="T87" s="22" t="n">
        <x:v>0.07692307692307693</x:v>
      </x:c>
      <x:c r="U87" s="8" t="n">
        <x:v>0</x:v>
      </x:c>
      <x:c r="V87" s="8" t="n">
        <x:v>0</x:v>
      </x:c>
      <x:c r="W87" s="8" t="str">
        <x:v>https://parks.portlandciviclab.org/parks/flavel-park-123</x:v>
      </x:c>
    </x:row>
    <x:row r="88" ht="23" customHeight="1">
      <x:c r="A88" s="7" t="str">
        <x:v>1503</x:v>
      </x:c>
      <x:c r="B88" s="7" t="str">
        <x:v>Floyd Light Community Garden</x:v>
      </x:c>
      <x:c r="C88" s="7" t="str">
        <x:v>community-garden</x:v>
      </x:c>
      <x:c r="D88" s="7" t="str">
        <x:v>District 1</x:v>
      </x:c>
      <x:c r="E88" s="19" t="n">
        <x:v>0.45294975</x:v>
      </x:c>
      <x:c r="F88" s="7" t="n">
        <x:v>1</x:v>
      </x:c>
      <x:c r="G88" s="7" t="n">
        <x:v>0</x:v>
      </x:c>
      <x:c r="H88" s="7" t="n">
        <x:v>0</x:v>
      </x:c>
      <x:c r="I88" s="7" t="n">
        <x:v>0</x:v>
      </x:c>
      <x:c r="J88" s="7" t="n">
        <x:v>0</x:v>
      </x:c>
      <x:c r="K88" s="7" t="n">
        <x:v>0</x:v>
      </x:c>
      <x:c r="L88" s="26" t="n">
        <x:f>F88*'Service inputs'!B67*'Service inputs'!C67</x:f>
        <x:v>52</x:v>
      </x:c>
      <x:c r="M88" s="26" t="n">
        <x:f>F88*E88*'Service inputs'!D67</x:f>
        <x:v>0.0226474875</x:v>
      </x:c>
      <x:c r="N88" s="26" t="n">
        <x:f>F88*E88*'Service inputs'!E67</x:f>
        <x:v>0.045294975</x:v>
      </x:c>
      <x:c r="O88" s="26" t="n">
        <x:f>F88*E88*'Service inputs'!F67</x:f>
        <x:v>0</x:v>
      </x:c>
      <x:c r="P88" s="26" t="n">
        <x:f>L88+F88*G88*'Service inputs'!$B$17*'Service inputs'!$B$18*'Service inputs'!$B$19+M88*('Service inputs'!$B$20*'Service inputs'!$B$21+'Service inputs'!$B$22)+N88*'Service inputs'!$B$23+F88*(H88*'Service inputs'!$B$28*'Service inputs'!$B$29+I88*'Service inputs'!$B$24*'Service inputs'!$B$25+J88*'Service inputs'!$B$26*'Service inputs'!$B$27+K88*'Service inputs'!$B$30*'Service inputs'!$B$31)</x:f>
        <x:v>57.9562892125</x:v>
      </x:c>
      <x:c r="Q88" s="26" t="n">
        <x:f>O88/SUM($O$5:$O$320)*SUMIF(Workload!$A$5:$A$40,"Ecology",Workload!$G$5:$G$40)</x:f>
        <x:v>0</x:v>
      </x:c>
      <x:c r="R88" s="27" t="n">
        <x:f>P88/SUMIF(Workload!$A$5:$A$40,"Grounds",Workload!$G$5:$G$40)*Staffing!$J$5+Q88/SUMIF(Workload!$A$5:$A$40,"Ecology",Workload!$G$5:$G$40)*Staffing!$J$7</x:f>
        <x:v>5890.32123697755</x:v>
      </x:c>
      <x:c r="S88" s="7" t="n">
        <x:v>2</x:v>
      </x:c>
      <x:c r="T88" s="23" t="n">
        <x:v>0</x:v>
      </x:c>
      <x:c r="U88" s="7" t="n">
        <x:v>0</x:v>
      </x:c>
      <x:c r="V88" s="7" t="n">
        <x:v>0</x:v>
      </x:c>
      <x:c r="W88" s="7" t="str">
        <x:v>https://parks.portlandciviclab.org/parks/floyd-light-community-garden-1503</x:v>
      </x:c>
    </x:row>
    <x:row r="89" ht="23" customHeight="1">
      <x:c r="A89" s="8" t="str">
        <x:v>124</x:v>
      </x:c>
      <x:c r="B89" s="8" t="str">
        <x:v>Floyd Light Park</x:v>
      </x:c>
      <x:c r="C89" s="8" t="str">
        <x:v>developed-park</x:v>
      </x:c>
      <x:c r="D89" s="8" t="str">
        <x:v>District 1</x:v>
      </x:c>
      <x:c r="E89" s="18" t="n">
        <x:v>7.64585067</x:v>
      </x:c>
      <x:c r="F89" s="8" t="n">
        <x:v>1</x:v>
      </x:c>
      <x:c r="G89" s="8" t="n">
        <x:v>0</x:v>
      </x:c>
      <x:c r="H89" s="8" t="n">
        <x:v>1</x:v>
      </x:c>
      <x:c r="I89" s="8" t="n">
        <x:v>1</x:v>
      </x:c>
      <x:c r="J89" s="8" t="n">
        <x:v>1</x:v>
      </x:c>
      <x:c r="K89" s="8" t="n">
        <x:v>0</x:v>
      </x:c>
      <x:c r="L89" s="24" t="n">
        <x:f>F89*'Service inputs'!B65*'Service inputs'!C65</x:f>
        <x:v>547.5</x:v>
      </x:c>
      <x:c r="M89" s="24" t="n">
        <x:f>F89*E89*'Service inputs'!D65</x:f>
        <x:v>4.2052178685</x:v>
      </x:c>
      <x:c r="N89" s="24" t="n">
        <x:f>F89*E89*'Service inputs'!E65</x:f>
        <x:v>0.38229253350000003</x:v>
      </x:c>
      <x:c r="O89" s="24" t="n">
        <x:f>F89*E89*'Service inputs'!F65</x:f>
        <x:v>1.9114626675</x:v>
      </x:c>
      <x:c r="P89" s="24" t="n">
        <x:f>L89+F89*G89*'Service inputs'!$B$17*'Service inputs'!$B$18*'Service inputs'!$B$19+M89*('Service inputs'!$B$20*'Service inputs'!$B$21+'Service inputs'!$B$22)+N89*'Service inputs'!$B$23+F89*(H89*'Service inputs'!$B$28*'Service inputs'!$B$29+I89*'Service inputs'!$B$24*'Service inputs'!$B$25+J89*'Service inputs'!$B$26*'Service inputs'!$B$27+K89*'Service inputs'!$B$30*'Service inputs'!$B$31)</x:f>
        <x:v>852.0951149955</x:v>
      </x:c>
      <x:c r="Q89" s="24" t="n">
        <x:f>O89/SUM($O$5:$O$320)*SUMIF(Workload!$A$5:$A$40,"Ecology",Workload!$G$5:$G$40)</x:f>
        <x:v>20.065978371070287</x:v>
      </x:c>
      <x:c r="R89" s="25" t="n">
        <x:f>P89/SUMIF(Workload!$A$5:$A$40,"Grounds",Workload!$G$5:$G$40)*Staffing!$J$5+Q89/SUMIF(Workload!$A$5:$A$40,"Ecology",Workload!$G$5:$G$40)*Staffing!$J$7</x:f>
        <x:v>88924.02806079495</x:v>
      </x:c>
      <x:c r="S89" s="8" t="n">
        <x:v>26</x:v>
      </x:c>
      <x:c r="T89" s="22" t="n">
        <x:v>0.15384615384615385</x:v>
      </x:c>
      <x:c r="U89" s="8" t="n">
        <x:v>0</x:v>
      </x:c>
      <x:c r="V89" s="8" t="n">
        <x:v>0</x:v>
      </x:c>
      <x:c r="W89" s="8" t="str">
        <x:v>https://parks.portlandciviclab.org/parks/floyd-light-park-124</x:v>
      </x:c>
    </x:row>
    <x:row r="90" ht="23" customHeight="1">
      <x:c r="A90" s="7" t="str">
        <x:v>1461</x:v>
      </x:c>
      <x:c r="B90" s="7" t="str">
        <x:v>Flyway Wetlands Natural Area</x:v>
      </x:c>
      <x:c r="C90" s="7" t="str">
        <x:v>natural-area</x:v>
      </x:c>
      <x:c r="D90" s="7" t="str">
        <x:v>District 2</x:v>
      </x:c>
      <x:c r="E90" s="19" t="n">
        <x:v>27.2597953</x:v>
      </x:c>
      <x:c r="F90" s="7" t="n">
        <x:v>1</x:v>
      </x:c>
      <x:c r="G90" s="7" t="n">
        <x:v>0</x:v>
      </x:c>
      <x:c r="H90" s="7" t="n">
        <x:v>0</x:v>
      </x:c>
      <x:c r="I90" s="7" t="n">
        <x:v>0</x:v>
      </x:c>
      <x:c r="J90" s="7" t="n">
        <x:v>0</x:v>
      </x:c>
      <x:c r="K90" s="7" t="n">
        <x:v>0</x:v>
      </x:c>
      <x:c r="L90" s="26" t="n">
        <x:f>F90*'Service inputs'!B66*'Service inputs'!C66</x:f>
        <x:v>78</x:v>
      </x:c>
      <x:c r="M90" s="26" t="n">
        <x:f>F90*E90*'Service inputs'!D66</x:f>
        <x:v>0.1362989765</x:v>
      </x:c>
      <x:c r="N90" s="26" t="n">
        <x:f>F90*E90*'Service inputs'!E66</x:f>
        <x:v>0</x:v>
      </x:c>
      <x:c r="O90" s="26" t="n">
        <x:f>F90*E90*'Service inputs'!F66</x:f>
        <x:v>26.987197347</x:v>
      </x:c>
      <x:c r="P90" s="26" t="n">
        <x:f>L90+F90*G90*'Service inputs'!$B$17*'Service inputs'!$B$18*'Service inputs'!$B$19+M90*('Service inputs'!$B$20*'Service inputs'!$B$21+'Service inputs'!$B$22)+N90*'Service inputs'!$B$23+F90*(H90*'Service inputs'!$B$28*'Service inputs'!$B$29+I90*'Service inputs'!$B$24*'Service inputs'!$B$25+J90*'Service inputs'!$B$26*'Service inputs'!$B$27+K90*'Service inputs'!$B$30*'Service inputs'!$B$31)</x:f>
        <x:v>81.1348764595</x:v>
      </x:c>
      <x:c r="Q90" s="26" t="n">
        <x:f>O90/SUM($O$5:$O$320)*SUMIF(Workload!$A$5:$A$40,"Ecology",Workload!$G$5:$G$40)</x:f>
        <x:v>283.3037377439167</x:v>
      </x:c>
      <x:c r="R90" s="27" t="n">
        <x:f>P90/SUMIF(Workload!$A$5:$A$40,"Grounds",Workload!$G$5:$G$40)*Staffing!$J$5+Q90/SUMIF(Workload!$A$5:$A$40,"Ecology",Workload!$G$5:$G$40)*Staffing!$J$7</x:f>
        <x:v>41033.90628654936</x:v>
      </x:c>
      <x:c r="S90" s="7" t="n">
        <x:v>0</x:v>
      </x:c>
      <x:c r="T90" s="23" t="n">
        <x:v>0</x:v>
      </x:c>
      <x:c r="U90" s="7" t="n">
        <x:v>0</x:v>
      </x:c>
      <x:c r="V90" s="7" t="n">
        <x:v>0</x:v>
      </x:c>
      <x:c r="W90" s="7" t="str">
        <x:v>https://parks.portlandciviclab.org/parks/flyway-wetlands-natural-area-1461</x:v>
      </x:c>
    </x:row>
    <x:row r="91" ht="23" customHeight="1">
      <x:c r="A91" s="8" t="str">
        <x:v>1198</x:v>
      </x:c>
      <x:c r="B91" s="8" t="str">
        <x:v>Foley-Balmer Natural Area</x:v>
      </x:c>
      <x:c r="C91" s="8" t="str">
        <x:v>natural-area</x:v>
      </x:c>
      <x:c r="D91" s="8" t="str">
        <x:v>District 4</x:v>
      </x:c>
      <x:c r="E91" s="18" t="n">
        <x:v>9.64063924</x:v>
      </x:c>
      <x:c r="F91" s="8" t="n">
        <x:v>1</x:v>
      </x:c>
      <x:c r="G91" s="8" t="n">
        <x:v>0</x:v>
      </x:c>
      <x:c r="H91" s="8" t="n">
        <x:v>0</x:v>
      </x:c>
      <x:c r="I91" s="8" t="n">
        <x:v>0</x:v>
      </x:c>
      <x:c r="J91" s="8" t="n">
        <x:v>0</x:v>
      </x:c>
      <x:c r="K91" s="8" t="n">
        <x:v>0</x:v>
      </x:c>
      <x:c r="L91" s="24" t="n">
        <x:f>F91*'Service inputs'!B66*'Service inputs'!C66</x:f>
        <x:v>78</x:v>
      </x:c>
      <x:c r="M91" s="24" t="n">
        <x:f>F91*E91*'Service inputs'!D66</x:f>
        <x:v>0.048203196200000006</x:v>
      </x:c>
      <x:c r="N91" s="24" t="n">
        <x:f>F91*E91*'Service inputs'!E66</x:f>
        <x:v>0</x:v>
      </x:c>
      <x:c r="O91" s="24" t="n">
        <x:f>F91*E91*'Service inputs'!F66</x:f>
        <x:v>9.5442328476</x:v>
      </x:c>
      <x:c r="P91" s="24" t="n">
        <x:f>L91+F91*G91*'Service inputs'!$B$17*'Service inputs'!$B$18*'Service inputs'!$B$19+M91*('Service inputs'!$B$20*'Service inputs'!$B$21+'Service inputs'!$B$22)+N91*'Service inputs'!$B$23+F91*(H91*'Service inputs'!$B$28*'Service inputs'!$B$29+I91*'Service inputs'!$B$24*'Service inputs'!$B$25+J91*'Service inputs'!$B$26*'Service inputs'!$B$27+K91*'Service inputs'!$B$30*'Service inputs'!$B$31)</x:f>
        <x:v>79.1086735126</x:v>
      </x:c>
      <x:c r="Q91" s="24" t="n">
        <x:f>O91/SUM($O$5:$O$320)*SUMIF(Workload!$A$5:$A$40,"Ecology",Workload!$G$5:$G$40)</x:f>
        <x:v>100.192576682066</x:v>
      </x:c>
      <x:c r="R91" s="25" t="n">
        <x:f>P91/SUMIF(Workload!$A$5:$A$40,"Grounds",Workload!$G$5:$G$40)*Staffing!$J$5+Q91/SUMIF(Workload!$A$5:$A$40,"Ecology",Workload!$G$5:$G$40)*Staffing!$J$7</x:f>
        <x:v>19635.800609868813</x:v>
      </x:c>
      <x:c r="S91" s="8" t="n">
        <x:v>1</x:v>
      </x:c>
      <x:c r="T91" s="22" t="n">
        <x:v>0</x:v>
      </x:c>
      <x:c r="U91" s="8" t="n">
        <x:v>0</x:v>
      </x:c>
      <x:c r="V91" s="8" t="n">
        <x:v>0</x:v>
      </x:c>
      <x:c r="W91" s="8" t="str">
        <x:v>https://parks.portlandciviclab.org/parks/foley-balmer-natural-area-1198</x:v>
      </x:c>
    </x:row>
    <x:row r="92" ht="23" customHeight="1">
      <x:c r="A92" s="7" t="str">
        <x:v>126</x:v>
      </x:c>
      <x:c r="B92" s="7" t="str">
        <x:v>Forest Heights Park</x:v>
      </x:c>
      <x:c r="C92" s="7" t="str">
        <x:v>developed-park</x:v>
      </x:c>
      <x:c r="D92" s="7" t="str">
        <x:v>District 4</x:v>
      </x:c>
      <x:c r="E92" s="19" t="n">
        <x:v>2.93417756</x:v>
      </x:c>
      <x:c r="F92" s="7" t="n">
        <x:v>1</x:v>
      </x:c>
      <x:c r="G92" s="7" t="n">
        <x:v>0</x:v>
      </x:c>
      <x:c r="H92" s="7" t="n">
        <x:v>1</x:v>
      </x:c>
      <x:c r="I92" s="7" t="n">
        <x:v>0</x:v>
      </x:c>
      <x:c r="J92" s="7" t="n">
        <x:v>0</x:v>
      </x:c>
      <x:c r="K92" s="7" t="n">
        <x:v>0</x:v>
      </x:c>
      <x:c r="L92" s="26" t="n">
        <x:f>F92*'Service inputs'!B65*'Service inputs'!C65</x:f>
        <x:v>547.5</x:v>
      </x:c>
      <x:c r="M92" s="26" t="n">
        <x:f>F92*E92*'Service inputs'!D65</x:f>
        <x:v>1.6137976580000002</x:v>
      </x:c>
      <x:c r="N92" s="26" t="n">
        <x:f>F92*E92*'Service inputs'!E65</x:f>
        <x:v>0.14670887800000001</x:v>
      </x:c>
      <x:c r="O92" s="26" t="n">
        <x:f>F92*E92*'Service inputs'!F65</x:f>
        <x:v>0.73354439</x:v>
      </x:c>
      <x:c r="P92" s="26" t="n">
        <x:f>L92+F92*G92*'Service inputs'!$B$17*'Service inputs'!$B$18*'Service inputs'!$B$19+M92*('Service inputs'!$B$20*'Service inputs'!$B$21+'Service inputs'!$B$22)+N92*'Service inputs'!$B$23+F92*(H92*'Service inputs'!$B$28*'Service inputs'!$B$29+I92*'Service inputs'!$B$24*'Service inputs'!$B$25+J92*'Service inputs'!$B$26*'Service inputs'!$B$27+K92*'Service inputs'!$B$30*'Service inputs'!$B$31)</x:f>
        <x:v>641.222411494</x:v>
      </x:c>
      <x:c r="Q92" s="26" t="n">
        <x:f>O92/SUM($O$5:$O$320)*SUMIF(Workload!$A$5:$A$40,"Ecology",Workload!$G$5:$G$40)</x:f>
        <x:v>7.700535361860499</x:v>
      </x:c>
      <x:c r="R92" s="27" t="n">
        <x:f>P92/SUMIF(Workload!$A$5:$A$40,"Grounds",Workload!$G$5:$G$40)*Staffing!$J$5+Q92/SUMIF(Workload!$A$5:$A$40,"Ecology",Workload!$G$5:$G$40)*Staffing!$J$7</x:f>
        <x:v>66061.12041666059</x:v>
      </x:c>
      <x:c r="S92" s="7" t="n">
        <x:v>15</x:v>
      </x:c>
      <x:c r="T92" s="23" t="n">
        <x:v>0.06666666666666667</x:v>
      </x:c>
      <x:c r="U92" s="7" t="n">
        <x:v>0</x:v>
      </x:c>
      <x:c r="V92" s="7" t="n">
        <x:v>0</x:v>
      </x:c>
      <x:c r="W92" s="7" t="str">
        <x:v>https://parks.portlandciviclab.org/parks/forest-heights-park-126</x:v>
      </x:c>
    </x:row>
    <x:row r="93" ht="23" customHeight="1">
      <x:c r="A93" s="8" t="str">
        <x:v>127</x:v>
      </x:c>
      <x:c r="B93" s="8" t="str">
        <x:v>Forest Park</x:v>
      </x:c>
      <x:c r="C93" s="8" t="str">
        <x:v>natural-area</x:v>
      </x:c>
      <x:c r="D93" s="8" t="str">
        <x:v>District 4</x:v>
      </x:c>
      <x:c r="E93" s="18" t="n">
        <x:v>5110.22238616</x:v>
      </x:c>
      <x:c r="F93" s="8" t="n">
        <x:v>1</x:v>
      </x:c>
      <x:c r="G93" s="8" t="n">
        <x:v>0</x:v>
      </x:c>
      <x:c r="H93" s="8" t="n">
        <x:v>0</x:v>
      </x:c>
      <x:c r="I93" s="8" t="n">
        <x:v>0</x:v>
      </x:c>
      <x:c r="J93" s="8" t="n">
        <x:v>0</x:v>
      </x:c>
      <x:c r="K93" s="8" t="n">
        <x:v>0</x:v>
      </x:c>
      <x:c r="L93" s="24" t="n">
        <x:f>F93*'Service inputs'!B66*'Service inputs'!C66</x:f>
        <x:v>78</x:v>
      </x:c>
      <x:c r="M93" s="24" t="n">
        <x:f>F93*E93*'Service inputs'!D66</x:f>
        <x:v>25.551111930799998</x:v>
      </x:c>
      <x:c r="N93" s="24" t="n">
        <x:f>F93*E93*'Service inputs'!E66</x:f>
        <x:v>0</x:v>
      </x:c>
      <x:c r="O93" s="24" t="n">
        <x:f>F93*E93*'Service inputs'!F66</x:f>
        <x:v>5059.1201622984</x:v>
      </x:c>
      <x:c r="P93" s="24" t="n">
        <x:f>L93+F93*G93*'Service inputs'!$B$17*'Service inputs'!$B$18*'Service inputs'!$B$19+M93*('Service inputs'!$B$20*'Service inputs'!$B$21+'Service inputs'!$B$22)+N93*'Service inputs'!$B$23+F93*(H93*'Service inputs'!$B$28*'Service inputs'!$B$29+I93*'Service inputs'!$B$24*'Service inputs'!$B$25+J93*'Service inputs'!$B$26*'Service inputs'!$B$27+K93*'Service inputs'!$B$30*'Service inputs'!$B$31)</x:f>
        <x:v>665.6755744083999</x:v>
      </x:c>
      <x:c r="Q93" s="24" t="n">
        <x:f>O93/SUM($O$5:$O$320)*SUMIF(Workload!$A$5:$A$40,"Ecology",Workload!$G$5:$G$40)</x:f>
        <x:v>53109.16999812412</x:v>
      </x:c>
      <x:c r="R93" s="25" t="n">
        <x:f>P93/SUMIF(Workload!$A$5:$A$40,"Grounds",Workload!$G$5:$G$40)*Staffing!$J$5+Q93/SUMIF(Workload!$A$5:$A$40,"Ecology",Workload!$G$5:$G$40)*Staffing!$J$7</x:f>
        <x:v>6214188.301391907</x:v>
      </x:c>
      <x:c r="S93" s="8" t="n">
        <x:v>21</x:v>
      </x:c>
      <x:c r="T93" s="22" t="n">
        <x:v>0.3333333333333333</x:v>
      </x:c>
      <x:c r="U93" s="8" t="n">
        <x:v>0</x:v>
      </x:c>
      <x:c r="V93" s="8" t="n">
        <x:v>7</x:v>
      </x:c>
      <x:c r="W93" s="8" t="str">
        <x:v>https://parks.portlandciviclab.org/parks/forest-park-127</x:v>
      </x:c>
    </x:row>
    <x:row r="94" ht="23" customHeight="1">
      <x:c r="A94" s="7" t="str">
        <x:v>1463</x:v>
      </x:c>
      <x:c r="B94" s="7" t="str">
        <x:v>Foster Floodplain Natural Area</x:v>
      </x:c>
      <x:c r="C94" s="7" t="str">
        <x:v>natural-area</x:v>
      </x:c>
      <x:c r="D94" s="7" t="str">
        <x:v>District 1</x:v>
      </x:c>
      <x:c r="E94" s="19" t="n">
        <x:v>54.09339734</x:v>
      </x:c>
      <x:c r="F94" s="7" t="n">
        <x:v>1</x:v>
      </x:c>
      <x:c r="G94" s="7" t="n">
        <x:v>0</x:v>
      </x:c>
      <x:c r="H94" s="7" t="n">
        <x:v>0</x:v>
      </x:c>
      <x:c r="I94" s="7" t="n">
        <x:v>0</x:v>
      </x:c>
      <x:c r="J94" s="7" t="n">
        <x:v>0</x:v>
      </x:c>
      <x:c r="K94" s="7" t="n">
        <x:v>0</x:v>
      </x:c>
      <x:c r="L94" s="26" t="n">
        <x:f>F94*'Service inputs'!B66*'Service inputs'!C66</x:f>
        <x:v>78</x:v>
      </x:c>
      <x:c r="M94" s="26" t="n">
        <x:f>F94*E94*'Service inputs'!D66</x:f>
        <x:v>0.2704669867</x:v>
      </x:c>
      <x:c r="N94" s="26" t="n">
        <x:f>F94*E94*'Service inputs'!E66</x:f>
        <x:v>0</x:v>
      </x:c>
      <x:c r="O94" s="26" t="n">
        <x:f>F94*E94*'Service inputs'!F66</x:f>
        <x:v>53.5524633666</x:v>
      </x:c>
      <x:c r="P94" s="26" t="n">
        <x:f>L94+F94*G94*'Service inputs'!$B$17*'Service inputs'!$B$18*'Service inputs'!$B$19+M94*('Service inputs'!$B$20*'Service inputs'!$B$21+'Service inputs'!$B$22)+N94*'Service inputs'!$B$23+F94*(H94*'Service inputs'!$B$28*'Service inputs'!$B$29+I94*'Service inputs'!$B$24*'Service inputs'!$B$25+J94*'Service inputs'!$B$26*'Service inputs'!$B$27+K94*'Service inputs'!$B$30*'Service inputs'!$B$31)</x:f>
        <x:v>84.2207406941</x:v>
      </x:c>
      <x:c r="Q94" s="26" t="n">
        <x:f>O94/SUM($O$5:$O$320)*SUMIF(Workload!$A$5:$A$40,"Ecology",Workload!$G$5:$G$40)</x:f>
        <x:v>562.1781633000319</x:v>
      </x:c>
      <x:c r="R94" s="27" t="n">
        <x:f>P94/SUMIF(Workload!$A$5:$A$40,"Grounds",Workload!$G$5:$G$40)*Staffing!$J$5+Q94/SUMIF(Workload!$A$5:$A$40,"Ecology",Workload!$G$5:$G$40)*Staffing!$J$7</x:f>
        <x:v>73622.76866920711</x:v>
      </x:c>
      <x:c r="S94" s="7" t="n">
        <x:v>1</x:v>
      </x:c>
      <x:c r="T94" s="23" t="n">
        <x:v>0</x:v>
      </x:c>
      <x:c r="U94" s="7" t="n">
        <x:v>0</x:v>
      </x:c>
      <x:c r="V94" s="7" t="n">
        <x:v>0</x:v>
      </x:c>
      <x:c r="W94" s="7" t="str">
        <x:v>https://parks.portlandciviclab.org/parks/foster-floodplain-natural-area-1463</x:v>
      </x:c>
    </x:row>
    <x:row r="95" ht="23" customHeight="1">
      <x:c r="A95" s="8" t="str">
        <x:v>130</x:v>
      </x:c>
      <x:c r="B95" s="8" t="str">
        <x:v>Frazer Park</x:v>
      </x:c>
      <x:c r="C95" s="8" t="str">
        <x:v>developed-park</x:v>
      </x:c>
      <x:c r="D95" s="8" t="str">
        <x:v>District 3</x:v>
      </x:c>
      <x:c r="E95" s="18" t="n">
        <x:v>3.81193474</x:v>
      </x:c>
      <x:c r="F95" s="8" t="n">
        <x:v>1</x:v>
      </x:c>
      <x:c r="G95" s="8" t="n">
        <x:v>0</x:v>
      </x:c>
      <x:c r="H95" s="8" t="n">
        <x:v>1</x:v>
      </x:c>
      <x:c r="I95" s="8" t="n">
        <x:v>0</x:v>
      </x:c>
      <x:c r="J95" s="8" t="n">
        <x:v>1</x:v>
      </x:c>
      <x:c r="K95" s="8" t="n">
        <x:v>0</x:v>
      </x:c>
      <x:c r="L95" s="24" t="n">
        <x:f>F95*'Service inputs'!B65*'Service inputs'!C65</x:f>
        <x:v>547.5</x:v>
      </x:c>
      <x:c r="M95" s="24" t="n">
        <x:f>F95*E95*'Service inputs'!D65</x:f>
        <x:v>2.0965641070000003</x:v>
      </x:c>
      <x:c r="N95" s="24" t="n">
        <x:f>F95*E95*'Service inputs'!E65</x:f>
        <x:v>0.19059673700000002</x:v>
      </x:c>
      <x:c r="O95" s="24" t="n">
        <x:f>F95*E95*'Service inputs'!F65</x:f>
        <x:v>0.952983685</x:v>
      </x:c>
      <x:c r="P95" s="24" t="n">
        <x:f>L95+F95*G95*'Service inputs'!$B$17*'Service inputs'!$B$18*'Service inputs'!$B$19+M95*('Service inputs'!$B$20*'Service inputs'!$B$21+'Service inputs'!$B$22)+N95*'Service inputs'!$B$23+F95*(H95*'Service inputs'!$B$28*'Service inputs'!$B$29+I95*'Service inputs'!$B$24*'Service inputs'!$B$25+J95*'Service inputs'!$B$26*'Service inputs'!$B$27+K95*'Service inputs'!$B$30*'Service inputs'!$B$31)</x:f>
        <x:v>675.592582901</x:v>
      </x:c>
      <x:c r="Q95" s="24" t="n">
        <x:f>O95/SUM($O$5:$O$320)*SUMIF(Workload!$A$5:$A$40,"Ecology",Workload!$G$5:$G$40)</x:f>
        <x:v>10.004145169208678</x:v>
      </x:c>
      <x:c r="R95" s="25" t="n">
        <x:f>P95/SUMIF(Workload!$A$5:$A$40,"Grounds",Workload!$G$5:$G$40)*Staffing!$J$5+Q95/SUMIF(Workload!$A$5:$A$40,"Ecology",Workload!$G$5:$G$40)*Staffing!$J$7</x:f>
        <x:v>69820.89934167873</x:v>
      </x:c>
      <x:c r="S95" s="8" t="n">
        <x:v>20</x:v>
      </x:c>
      <x:c r="T95" s="22" t="n">
        <x:v>0.7</x:v>
      </x:c>
      <x:c r="U95" s="8" t="n">
        <x:v>1</x:v>
      </x:c>
      <x:c r="V95" s="8" t="n">
        <x:v>2</x:v>
      </x:c>
      <x:c r="W95" s="8" t="str">
        <x:v>https://parks.portlandciviclab.org/parks/frazer-park-130</x:v>
      </x:c>
    </x:row>
    <x:row r="96" ht="23" customHeight="1">
      <x:c r="A96" s="7" t="str">
        <x:v>1217</x:v>
      </x:c>
      <x:c r="B96" s="7" t="str">
        <x:v>Front and Curry Community Garden</x:v>
      </x:c>
      <x:c r="C96" s="7" t="str">
        <x:v>community-garden</x:v>
      </x:c>
      <x:c r="D96" s="7" t="str">
        <x:v>District 4</x:v>
      </x:c>
      <x:c r="E96" s="19" t="n">
        <x:v>0.22883452</x:v>
      </x:c>
      <x:c r="F96" s="7" t="n">
        <x:v>1</x:v>
      </x:c>
      <x:c r="G96" s="7" t="n">
        <x:v>0</x:v>
      </x:c>
      <x:c r="H96" s="7" t="n">
        <x:v>0</x:v>
      </x:c>
      <x:c r="I96" s="7" t="n">
        <x:v>0</x:v>
      </x:c>
      <x:c r="J96" s="7" t="n">
        <x:v>0</x:v>
      </x:c>
      <x:c r="K96" s="7" t="n">
        <x:v>0</x:v>
      </x:c>
      <x:c r="L96" s="26" t="n">
        <x:f>F96*'Service inputs'!B67*'Service inputs'!C67</x:f>
        <x:v>52</x:v>
      </x:c>
      <x:c r="M96" s="26" t="n">
        <x:f>F96*E96*'Service inputs'!D67</x:f>
        <x:v>0.011441726000000001</x:v>
      </x:c>
      <x:c r="N96" s="26" t="n">
        <x:f>F96*E96*'Service inputs'!E67</x:f>
        <x:v>0.022883452000000002</x:v>
      </x:c>
      <x:c r="O96" s="26" t="n">
        <x:f>F96*E96*'Service inputs'!F67</x:f>
        <x:v>0</x:v>
      </x:c>
      <x:c r="P96" s="26" t="n">
        <x:f>L96+F96*G96*'Service inputs'!$B$17*'Service inputs'!$B$18*'Service inputs'!$B$19+M96*('Service inputs'!$B$20*'Service inputs'!$B$21+'Service inputs'!$B$22)+N96*'Service inputs'!$B$23+F96*(H96*'Service inputs'!$B$28*'Service inputs'!$B$29+I96*'Service inputs'!$B$24*'Service inputs'!$B$25+J96*'Service inputs'!$B$26*'Service inputs'!$B$27+K96*'Service inputs'!$B$30*'Service inputs'!$B$31)</x:f>
        <x:v>55.009173938</x:v>
      </x:c>
      <x:c r="Q96" s="26" t="n">
        <x:f>O96/SUM($O$5:$O$320)*SUMIF(Workload!$A$5:$A$40,"Ecology",Workload!$G$5:$G$40)</x:f>
        <x:v>0</x:v>
      </x:c>
      <x:c r="R96" s="27" t="n">
        <x:f>P96/SUMIF(Workload!$A$5:$A$40,"Grounds",Workload!$G$5:$G$40)*Staffing!$J$5+Q96/SUMIF(Workload!$A$5:$A$40,"Ecology",Workload!$G$5:$G$40)*Staffing!$J$7</x:f>
        <x:v>5590.794543238431</x:v>
      </x:c>
      <x:c r="S96" s="7" t="n">
        <x:v>5</x:v>
      </x:c>
      <x:c r="T96" s="23" t="n">
        <x:v>0.4</x:v>
      </x:c>
      <x:c r="U96" s="7" t="n">
        <x:v>0</x:v>
      </x:c>
      <x:c r="V96" s="7" t="n">
        <x:v>0</x:v>
      </x:c>
      <x:c r="W96" s="7" t="str">
        <x:v>https://parks.portlandciviclab.org/parks/front-and-curry-community-garden-1217</x:v>
      </x:c>
    </x:row>
    <x:row r="97" ht="23" customHeight="1">
      <x:c r="A97" s="8" t="str">
        <x:v>133</x:v>
      </x:c>
      <x:c r="B97" s="8" t="str">
        <x:v>Fulton Park</x:v>
      </x:c>
      <x:c r="C97" s="8" t="str">
        <x:v>developed-park</x:v>
      </x:c>
      <x:c r="D97" s="8" t="str">
        <x:v>District 4</x:v>
      </x:c>
      <x:c r="E97" s="18" t="n">
        <x:v>8.70280447</x:v>
      </x:c>
      <x:c r="F97" s="8" t="n">
        <x:v>1</x:v>
      </x:c>
      <x:c r="G97" s="8" t="n">
        <x:v>0</x:v>
      </x:c>
      <x:c r="H97" s="8" t="n">
        <x:v>1</x:v>
      </x:c>
      <x:c r="I97" s="8" t="n">
        <x:v>2</x:v>
      </x:c>
      <x:c r="J97" s="8" t="n">
        <x:v>3</x:v>
      </x:c>
      <x:c r="K97" s="8" t="n">
        <x:v>0</x:v>
      </x:c>
      <x:c r="L97" s="24" t="n">
        <x:f>F97*'Service inputs'!B65*'Service inputs'!C65</x:f>
        <x:v>547.5</x:v>
      </x:c>
      <x:c r="M97" s="24" t="n">
        <x:f>F97*E97*'Service inputs'!D65</x:f>
        <x:v>4.7865424585000005</x:v>
      </x:c>
      <x:c r="N97" s="24" t="n">
        <x:f>F97*E97*'Service inputs'!E65</x:f>
        <x:v>0.43514022350000003</x:v>
      </x:c>
      <x:c r="O97" s="24" t="n">
        <x:f>F97*E97*'Service inputs'!F65</x:f>
        <x:v>2.1757011175</x:v>
      </x:c>
      <x:c r="P97" s="24" t="n">
        <x:f>L97+F97*G97*'Service inputs'!$B$17*'Service inputs'!$B$18*'Service inputs'!$B$19+M97*('Service inputs'!$B$20*'Service inputs'!$B$21+'Service inputs'!$B$22)+N97*'Service inputs'!$B$23+F97*(H97*'Service inputs'!$B$28*'Service inputs'!$B$29+I97*'Service inputs'!$B$24*'Service inputs'!$B$25+J97*'Service inputs'!$B$26*'Service inputs'!$B$27+K97*'Service inputs'!$B$30*'Service inputs'!$B$31)</x:f>
        <x:v>1012.8073033655</x:v>
      </x:c>
      <x:c r="Q97" s="24" t="n">
        <x:f>O97/SUM($O$5:$O$320)*SUMIF(Workload!$A$5:$A$40,"Ecology",Workload!$G$5:$G$40)</x:f>
        <x:v>22.839876659881696</x:v>
      </x:c>
      <x:c r="R97" s="25" t="n">
        <x:f>P97/SUMIF(Workload!$A$5:$A$40,"Grounds",Workload!$G$5:$G$40)*Staffing!$J$5+Q97/SUMIF(Workload!$A$5:$A$40,"Ecology",Workload!$G$5:$G$40)*Staffing!$J$7</x:f>
        <x:v>105578.8618651992</x:v>
      </x:c>
      <x:c r="S97" s="8" t="n">
        <x:v>45</x:v>
      </x:c>
      <x:c r="T97" s="22" t="n">
        <x:v>0.2</x:v>
      </x:c>
      <x:c r="U97" s="8" t="n">
        <x:v>2</x:v>
      </x:c>
      <x:c r="V97" s="8" t="n">
        <x:v>0</x:v>
      </x:c>
      <x:c r="W97" s="8" t="str">
        <x:v>https://parks.portlandciviclab.org/parks/fulton-park-133</x:v>
      </x:c>
    </x:row>
    <x:row r="98" ht="23" customHeight="1">
      <x:c r="A98" s="7" t="str">
        <x:v>1410</x:v>
      </x:c>
      <x:c r="B98" s="7" t="str">
        <x:v>Furey Community Garden</x:v>
      </x:c>
      <x:c r="C98" s="7" t="str">
        <x:v>community-garden</x:v>
      </x:c>
      <x:c r="D98" s="7" t="str">
        <x:v>District 1</x:v>
      </x:c>
      <x:c r="E98" s="19" t="n">
        <x:v>0.36812427</x:v>
      </x:c>
      <x:c r="F98" s="7" t="n">
        <x:v>1</x:v>
      </x:c>
      <x:c r="G98" s="7" t="n">
        <x:v>0</x:v>
      </x:c>
      <x:c r="H98" s="7" t="n">
        <x:v>0</x:v>
      </x:c>
      <x:c r="I98" s="7" t="n">
        <x:v>0</x:v>
      </x:c>
      <x:c r="J98" s="7" t="n">
        <x:v>0</x:v>
      </x:c>
      <x:c r="K98" s="7" t="n">
        <x:v>0</x:v>
      </x:c>
      <x:c r="L98" s="26" t="n">
        <x:f>F98*'Service inputs'!B67*'Service inputs'!C67</x:f>
        <x:v>52</x:v>
      </x:c>
      <x:c r="M98" s="26" t="n">
        <x:f>F98*E98*'Service inputs'!D67</x:f>
        <x:v>0.0184062135</x:v>
      </x:c>
      <x:c r="N98" s="26" t="n">
        <x:f>F98*E98*'Service inputs'!E67</x:f>
        <x:v>0.036812427</x:v>
      </x:c>
      <x:c r="O98" s="26" t="n">
        <x:f>F98*E98*'Service inputs'!F67</x:f>
        <x:v>0</x:v>
      </x:c>
      <x:c r="P98" s="26" t="n">
        <x:f>L98+F98*G98*'Service inputs'!$B$17*'Service inputs'!$B$18*'Service inputs'!$B$19+M98*('Service inputs'!$B$20*'Service inputs'!$B$21+'Service inputs'!$B$22)+N98*'Service inputs'!$B$23+F98*(H98*'Service inputs'!$B$28*'Service inputs'!$B$29+I98*'Service inputs'!$B$24*'Service inputs'!$B$25+J98*'Service inputs'!$B$26*'Service inputs'!$B$27+K98*'Service inputs'!$B$30*'Service inputs'!$B$31)</x:f>
        <x:v>56.8408341505</x:v>
      </x:c>
      <x:c r="Q98" s="26" t="n">
        <x:f>O98/SUM($O$5:$O$320)*SUMIF(Workload!$A$5:$A$40,"Ecology",Workload!$G$5:$G$40)</x:f>
        <x:v>0</x:v>
      </x:c>
      <x:c r="R98" s="27" t="n">
        <x:f>P98/SUMIF(Workload!$A$5:$A$40,"Grounds",Workload!$G$5:$G$40)*Staffing!$J$5+Q98/SUMIF(Workload!$A$5:$A$40,"Ecology",Workload!$G$5:$G$40)*Staffing!$J$7</x:f>
        <x:v>5776.953236198515</x:v>
      </x:c>
      <x:c r="S98" s="7" t="n">
        <x:v>2</x:v>
      </x:c>
      <x:c r="T98" s="23" t="n">
        <x:v>0</x:v>
      </x:c>
      <x:c r="U98" s="7" t="n">
        <x:v>0</x:v>
      </x:c>
      <x:c r="V98" s="7" t="n">
        <x:v>0</x:v>
      </x:c>
      <x:c r="W98" s="7" t="str">
        <x:v>https://parks.portlandciviclab.org/parks/furey-community-garden-1410</x:v>
      </x:c>
    </x:row>
    <x:row r="99" ht="23" customHeight="1">
      <x:c r="A99" s="8" t="str">
        <x:v>136</x:v>
      </x:c>
      <x:c r="B99" s="8" t="str">
        <x:v>Gabriel Park</x:v>
      </x:c>
      <x:c r="C99" s="8" t="str">
        <x:v>developed-park</x:v>
      </x:c>
      <x:c r="D99" s="8" t="str">
        <x:v>District 4</x:v>
      </x:c>
      <x:c r="E99" s="18" t="n">
        <x:v>89.67281512</x:v>
      </x:c>
      <x:c r="F99" s="8" t="n">
        <x:v>1</x:v>
      </x:c>
      <x:c r="G99" s="8" t="n">
        <x:v>1</x:v>
      </x:c>
      <x:c r="H99" s="8" t="n">
        <x:v>1</x:v>
      </x:c>
      <x:c r="I99" s="8" t="n">
        <x:v>7</x:v>
      </x:c>
      <x:c r="J99" s="8" t="n">
        <x:v>16</x:v>
      </x:c>
      <x:c r="K99" s="8" t="n">
        <x:v>0</x:v>
      </x:c>
      <x:c r="L99" s="24" t="n">
        <x:f>F99*'Service inputs'!B65*'Service inputs'!C65</x:f>
        <x:v>547.5</x:v>
      </x:c>
      <x:c r="M99" s="24" t="n">
        <x:f>F99*E99*'Service inputs'!D65</x:f>
        <x:v>49.320048316000005</x:v>
      </x:c>
      <x:c r="N99" s="24" t="n">
        <x:f>F99*E99*'Service inputs'!E65</x:f>
        <x:v>4.483640756</x:v>
      </x:c>
      <x:c r="O99" s="24" t="n">
        <x:f>F99*E99*'Service inputs'!F65</x:f>
        <x:v>22.41820378</x:v>
      </x:c>
      <x:c r="P99" s="24" t="n">
        <x:f>L99+F99*G99*'Service inputs'!$B$17*'Service inputs'!$B$18*'Service inputs'!$B$19+M99*('Service inputs'!$B$20*'Service inputs'!$B$21+'Service inputs'!$B$22)+N99*'Service inputs'!$B$23+F99*(H99*'Service inputs'!$B$28*'Service inputs'!$B$29+I99*'Service inputs'!$B$24*'Service inputs'!$B$25+J99*'Service inputs'!$B$26*'Service inputs'!$B$27+K99*'Service inputs'!$B$30*'Service inputs'!$B$31)</x:f>
        <x:v>3603.648001988</x:v>
      </x:c>
      <x:c r="Q99" s="24" t="n">
        <x:f>O99/SUM($O$5:$O$320)*SUMIF(Workload!$A$5:$A$40,"Ecology",Workload!$G$5:$G$40)</x:f>
        <x:v>235.339773994161</x:v>
      </x:c>
      <x:c r="R99" s="25" t="n">
        <x:f>P99/SUMIF(Workload!$A$5:$A$40,"Grounds",Workload!$G$5:$G$40)*Staffing!$J$5+Q99/SUMIF(Workload!$A$5:$A$40,"Ecology",Workload!$G$5:$G$40)*Staffing!$J$7</x:f>
        <x:v>393489.44503284525</x:v>
      </x:c>
      <x:c r="S99" s="8" t="n">
        <x:v>379</x:v>
      </x:c>
      <x:c r="T99" s="22" t="n">
        <x:v>0.13984168865435356</x:v>
      </x:c>
      <x:c r="U99" s="8" t="n">
        <x:v>7</x:v>
      </x:c>
      <x:c r="V99" s="8" t="n">
        <x:v>1</x:v>
      </x:c>
      <x:c r="W99" s="8" t="str">
        <x:v>https://parks.portlandciviclab.org/parks/gabriel-park-136</x:v>
      </x:c>
    </x:row>
    <x:row r="100" ht="23" customHeight="1">
      <x:c r="A100" s="7" t="str">
        <x:v>137</x:v>
      </x:c>
      <x:c r="B100" s="7" t="str">
        <x:v>Gammans Park</x:v>
      </x:c>
      <x:c r="C100" s="7" t="str">
        <x:v>developed-park</x:v>
      </x:c>
      <x:c r="D100" s="7" t="str">
        <x:v>District 2</x:v>
      </x:c>
      <x:c r="E100" s="19" t="n">
        <x:v>1.65598386</x:v>
      </x:c>
      <x:c r="F100" s="7" t="n">
        <x:v>1</x:v>
      </x:c>
      <x:c r="G100" s="7" t="n">
        <x:v>0</x:v>
      </x:c>
      <x:c r="H100" s="7" t="n">
        <x:v>1</x:v>
      </x:c>
      <x:c r="I100" s="7" t="n">
        <x:v>0</x:v>
      </x:c>
      <x:c r="J100" s="7" t="n">
        <x:v>0</x:v>
      </x:c>
      <x:c r="K100" s="7" t="n">
        <x:v>0</x:v>
      </x:c>
      <x:c r="L100" s="26" t="n">
        <x:f>F100*'Service inputs'!B65*'Service inputs'!C65</x:f>
        <x:v>547.5</x:v>
      </x:c>
      <x:c r="M100" s="26" t="n">
        <x:f>F100*E100*'Service inputs'!D65</x:f>
        <x:v>0.9107911230000001</x:v>
      </x:c>
      <x:c r="N100" s="26" t="n">
        <x:f>F100*E100*'Service inputs'!E65</x:f>
        <x:v>0.08279919300000001</x:v>
      </x:c>
      <x:c r="O100" s="26" t="n">
        <x:f>F100*E100*'Service inputs'!F65</x:f>
        <x:v>0.413995965</x:v>
      </x:c>
      <x:c r="P100" s="26" t="n">
        <x:f>L100+F100*G100*'Service inputs'!$B$17*'Service inputs'!$B$18*'Service inputs'!$B$19+M100*('Service inputs'!$B$20*'Service inputs'!$B$21+'Service inputs'!$B$22)+N100*'Service inputs'!$B$23+F100*(H100*'Service inputs'!$B$28*'Service inputs'!$B$29+I100*'Service inputs'!$B$24*'Service inputs'!$B$25+J100*'Service inputs'!$B$26*'Service inputs'!$B$27+K100*'Service inputs'!$B$30*'Service inputs'!$B$31)</x:f>
        <x:v>617.384098989</x:v>
      </x:c>
      <x:c r="Q100" s="26" t="n">
        <x:f>O100/SUM($O$5:$O$320)*SUMIF(Workload!$A$5:$A$40,"Ecology",Workload!$G$5:$G$40)</x:f>
        <x:v>4.346009064495827</x:v>
      </x:c>
      <x:c r="R100" s="27" t="n">
        <x:f>P100/SUMIF(Workload!$A$5:$A$40,"Grounds",Workload!$G$5:$G$40)*Staffing!$J$5+Q100/SUMIF(Workload!$A$5:$A$40,"Ecology",Workload!$G$5:$G$40)*Staffing!$J$7</x:f>
        <x:v>63250.108239423964</x:v>
      </x:c>
      <x:c r="S100" s="7" t="n">
        <x:v>30</x:v>
      </x:c>
      <x:c r="T100" s="23" t="n">
        <x:v>0.4666666666666667</x:v>
      </x:c>
      <x:c r="U100" s="7" t="n">
        <x:v>0</x:v>
      </x:c>
      <x:c r="V100" s="7" t="n">
        <x:v>0</x:v>
      </x:c>
      <x:c r="W100" s="7" t="str">
        <x:v>https://parks.portlandciviclab.org/parks/gammans-park-137</x:v>
      </x:c>
    </x:row>
    <x:row r="101" ht="23" customHeight="1">
      <x:c r="A101" s="8" t="str">
        <x:v>1199</x:v>
      </x:c>
      <x:c r="B101" s="8" t="str">
        <x:v>Gates Park</x:v>
      </x:c>
      <x:c r="C101" s="8" t="str">
        <x:v>uncertain</x:v>
      </x:c>
      <x:c r="D101" s="8" t="str">
        <x:v>District 1</x:v>
      </x:c>
      <x:c r="E101" s="18" t="n">
        <x:v>11.19590666</x:v>
      </x:c>
      <x:c r="F101" s="8" t="n">
        <x:v>1</x:v>
      </x:c>
      <x:c r="G101" s="8" t="n">
        <x:v>0</x:v>
      </x:c>
      <x:c r="H101" s="8" t="n">
        <x:v>0</x:v>
      </x:c>
      <x:c r="I101" s="8" t="n">
        <x:v>0</x:v>
      </x:c>
      <x:c r="J101" s="8" t="n">
        <x:v>0</x:v>
      </x:c>
      <x:c r="K101" s="8" t="n">
        <x:v>0</x:v>
      </x:c>
      <x:c r="L101" s="24" t="n">
        <x:f>F101*'Service inputs'!B74*'Service inputs'!C74</x:f>
        <x:v>52</x:v>
      </x:c>
      <x:c r="M101" s="24" t="n">
        <x:f>F101*E101*'Service inputs'!D74</x:f>
        <x:v>1.1195906660000001</x:v>
      </x:c>
      <x:c r="N101" s="24" t="n">
        <x:f>F101*E101*'Service inputs'!E74</x:f>
        <x:v>0.2239181332</x:v>
      </x:c>
      <x:c r="O101" s="24" t="n">
        <x:f>F101*E101*'Service inputs'!F74</x:f>
        <x:v>5.59795333</x:v>
      </x:c>
      <x:c r="P101" s="24" t="n">
        <x:f>L101+F101*G101*'Service inputs'!$B$17*'Service inputs'!$B$18*'Service inputs'!$B$19+M101*('Service inputs'!$B$20*'Service inputs'!$B$21+'Service inputs'!$B$22)+N101*'Service inputs'!$B$23+F101*(H101*'Service inputs'!$B$28*'Service inputs'!$B$29+I101*'Service inputs'!$B$24*'Service inputs'!$B$25+J101*'Service inputs'!$B$26*'Service inputs'!$B$27+K101*'Service inputs'!$B$30*'Service inputs'!$B$31)</x:f>
        <x:v>104.620761302</x:v>
      </x:c>
      <x:c r="Q101" s="24" t="n">
        <x:f>O101/SUM($O$5:$O$320)*SUMIF(Workload!$A$5:$A$40,"Ecology",Workload!$G$5:$G$40)</x:f>
        <x:v>58.76568365782163</x:v>
      </x:c>
      <x:c r="R101" s="25" t="n">
        <x:f>P101/SUMIF(Workload!$A$5:$A$40,"Grounds",Workload!$G$5:$G$40)*Staffing!$J$5+Q101/SUMIF(Workload!$A$5:$A$40,"Ecology",Workload!$G$5:$G$40)*Staffing!$J$7</x:f>
        <x:v>17434.195240101537</x:v>
      </x:c>
      <x:c r="S101" s="8" t="n">
        <x:v>3</x:v>
      </x:c>
      <x:c r="T101" s="22" t="n">
        <x:v>0</x:v>
      </x:c>
      <x:c r="U101" s="8" t="n">
        <x:v>0</x:v>
      </x:c>
      <x:c r="V101" s="8" t="n">
        <x:v>0</x:v>
      </x:c>
      <x:c r="W101" s="8" t="str">
        <x:v>https://parks.portlandciviclab.org/parks/gates-park-1199</x:v>
      </x:c>
    </x:row>
    <x:row r="102" ht="23" customHeight="1">
      <x:c r="A102" s="7" t="str">
        <x:v>1366</x:v>
      </x:c>
      <x:c r="B102" s="7" t="str">
        <x:v>Gateway Discovery Park</x:v>
      </x:c>
      <x:c r="C102" s="7" t="str">
        <x:v>developed-park</x:v>
      </x:c>
      <x:c r="D102" s="7" t="str">
        <x:v>District 1</x:v>
      </x:c>
      <x:c r="E102" s="19" t="n">
        <x:v>3.01394533</x:v>
      </x:c>
      <x:c r="F102" s="7" t="n">
        <x:v>1</x:v>
      </x:c>
      <x:c r="G102" s="7" t="n">
        <x:v>2</x:v>
      </x:c>
      <x:c r="H102" s="7" t="n">
        <x:v>1</x:v>
      </x:c>
      <x:c r="I102" s="7" t="n">
        <x:v>0</x:v>
      </x:c>
      <x:c r="J102" s="7" t="n">
        <x:v>0</x:v>
      </x:c>
      <x:c r="K102" s="7" t="n">
        <x:v>1</x:v>
      </x:c>
      <x:c r="L102" s="26" t="n">
        <x:f>F102*'Service inputs'!B65*'Service inputs'!C65</x:f>
        <x:v>547.5</x:v>
      </x:c>
      <x:c r="M102" s="26" t="n">
        <x:f>F102*E102*'Service inputs'!D65</x:f>
        <x:v>1.6576699315</x:v>
      </x:c>
      <x:c r="N102" s="26" t="n">
        <x:f>F102*E102*'Service inputs'!E65</x:f>
        <x:v>0.1506972665</x:v>
      </x:c>
      <x:c r="O102" s="26" t="n">
        <x:f>F102*E102*'Service inputs'!F65</x:f>
        <x:v>0.7534863325</x:v>
      </x:c>
      <x:c r="P102" s="26" t="n">
        <x:f>L102+F102*G102*'Service inputs'!$B$17*'Service inputs'!$B$18*'Service inputs'!$B$19+M102*('Service inputs'!$B$20*'Service inputs'!$B$21+'Service inputs'!$B$22)+N102*'Service inputs'!$B$23+F102*(H102*'Service inputs'!$B$28*'Service inputs'!$B$29+I102*'Service inputs'!$B$24*'Service inputs'!$B$25+J102*'Service inputs'!$B$26*'Service inputs'!$B$27+K102*'Service inputs'!$B$30*'Service inputs'!$B$31)</x:f>
        <x:v>1334.2100804044999</x:v>
      </x:c>
      <x:c r="Q102" s="26" t="n">
        <x:f>O102/SUM($O$5:$O$320)*SUMIF(Workload!$A$5:$A$40,"Ecology",Workload!$G$5:$G$40)</x:f>
        <x:v>7.909880066146819</x:v>
      </x:c>
      <x:c r="R102" s="27" t="n">
        <x:f>P102/SUMIF(Workload!$A$5:$A$40,"Grounds",Workload!$G$5:$G$40)*Staffing!$J$5+Q102/SUMIF(Workload!$A$5:$A$40,"Ecology",Workload!$G$5:$G$40)*Staffing!$J$7</x:f>
        <x:v>136516.35866915341</x:v>
      </x:c>
      <x:c r="S102" s="7" t="n">
        <x:v>69</x:v>
      </x:c>
      <x:c r="T102" s="23" t="n">
        <x:v>0.014492753623188406</x:v>
      </x:c>
      <x:c r="U102" s="7" t="n">
        <x:v>0</x:v>
      </x:c>
      <x:c r="V102" s="7" t="n">
        <x:v>2</x:v>
      </x:c>
      <x:c r="W102" s="7" t="str">
        <x:v>https://parks.portlandciviclab.org/parks/gateway-discovery-park-1366</x:v>
      </x:c>
    </x:row>
    <x:row r="103" ht="23" customHeight="1">
      <x:c r="A103" s="8" t="str">
        <x:v>1484</x:v>
      </x:c>
      <x:c r="B103" s="8" t="str">
        <x:v>Gateway Green Property</x:v>
      </x:c>
      <x:c r="C103" s="8" t="str">
        <x:v>developed-park</x:v>
      </x:c>
      <x:c r="D103" s="8" t="str">
        <x:v>District 3</x:v>
      </x:c>
      <x:c r="E103" s="18" t="n">
        <x:v>25.26695138</x:v>
      </x:c>
      <x:c r="F103" s="8" t="n">
        <x:v>1</x:v>
      </x:c>
      <x:c r="G103" s="8" t="n">
        <x:v>1</x:v>
      </x:c>
      <x:c r="H103" s="8" t="n">
        <x:v>1</x:v>
      </x:c>
      <x:c r="I103" s="8" t="n">
        <x:v>0</x:v>
      </x:c>
      <x:c r="J103" s="8" t="n">
        <x:v>0</x:v>
      </x:c>
      <x:c r="K103" s="8" t="n">
        <x:v>0</x:v>
      </x:c>
      <x:c r="L103" s="24" t="n">
        <x:f>F103*'Service inputs'!B65*'Service inputs'!C65</x:f>
        <x:v>547.5</x:v>
      </x:c>
      <x:c r="M103" s="24" t="n">
        <x:f>F103*E103*'Service inputs'!D65</x:f>
        <x:v>13.896823259</x:v>
      </x:c>
      <x:c r="N103" s="24" t="n">
        <x:f>F103*E103*'Service inputs'!E65</x:f>
        <x:v>1.263347569</x:v>
      </x:c>
      <x:c r="O103" s="24" t="n">
        <x:f>F103*E103*'Service inputs'!F65</x:f>
        <x:v>6.316737845</x:v>
      </x:c>
      <x:c r="P103" s="24" t="n">
        <x:f>L103+F103*G103*'Service inputs'!$B$17*'Service inputs'!$B$18*'Service inputs'!$B$19+M103*('Service inputs'!$B$20*'Service inputs'!$B$21+'Service inputs'!$B$22)+N103*'Service inputs'!$B$23+F103*(H103*'Service inputs'!$B$28*'Service inputs'!$B$29+I103*'Service inputs'!$B$24*'Service inputs'!$B$25+J103*'Service inputs'!$B$26*'Service inputs'!$B$27+K103*'Service inputs'!$B$30*'Service inputs'!$B$31)</x:f>
        <x:v>1379.478643237</x:v>
      </x:c>
      <x:c r="Q103" s="24" t="n">
        <x:f>O103/SUM($O$5:$O$320)*SUMIF(Workload!$A$5:$A$40,"Ecology",Workload!$G$5:$G$40)</x:f>
        <x:v>66.31127415073679</x:v>
      </x:c>
      <x:c r="R103" s="25" t="n">
        <x:f>P103/SUMIF(Workload!$A$5:$A$40,"Grounds",Workload!$G$5:$G$40)*Staffing!$J$5+Q103/SUMIF(Workload!$A$5:$A$40,"Ecology",Workload!$G$5:$G$40)*Staffing!$J$7</x:f>
        <x:v>147876.200364739</x:v>
      </x:c>
      <x:c r="S103" s="8" t="n">
        <x:v>4</x:v>
      </x:c>
      <x:c r="T103" s="22" t="n">
        <x:v>0</x:v>
      </x:c>
      <x:c r="U103" s="8" t="n">
        <x:v>0</x:v>
      </x:c>
      <x:c r="V103" s="8" t="n">
        <x:v>2</x:v>
      </x:c>
      <x:c r="W103" s="8" t="str">
        <x:v>https://parks.portlandciviclab.org/parks/gateway-green-property-1484</x:v>
      </x:c>
    </x:row>
    <x:row r="104" ht="23" customHeight="1">
      <x:c r="A104" s="7" t="str">
        <x:v>147</x:v>
      </x:c>
      <x:c r="B104" s="7" t="str">
        <x:v>George Himes Park</x:v>
      </x:c>
      <x:c r="C104" s="7" t="str">
        <x:v>natural-area</x:v>
      </x:c>
      <x:c r="D104" s="7" t="str">
        <x:v>District 4</x:v>
      </x:c>
      <x:c r="E104" s="19" t="n">
        <x:v>35.96957313</x:v>
      </x:c>
      <x:c r="F104" s="7" t="n">
        <x:v>1</x:v>
      </x:c>
      <x:c r="G104" s="7" t="n">
        <x:v>0</x:v>
      </x:c>
      <x:c r="H104" s="7" t="n">
        <x:v>0</x:v>
      </x:c>
      <x:c r="I104" s="7" t="n">
        <x:v>0</x:v>
      </x:c>
      <x:c r="J104" s="7" t="n">
        <x:v>0</x:v>
      </x:c>
      <x:c r="K104" s="7" t="n">
        <x:v>0</x:v>
      </x:c>
      <x:c r="L104" s="26" t="n">
        <x:f>F104*'Service inputs'!B66*'Service inputs'!C66</x:f>
        <x:v>78</x:v>
      </x:c>
      <x:c r="M104" s="26" t="n">
        <x:f>F104*E104*'Service inputs'!D66</x:f>
        <x:v>0.17984786565</x:v>
      </x:c>
      <x:c r="N104" s="26" t="n">
        <x:f>F104*E104*'Service inputs'!E66</x:f>
        <x:v>0</x:v>
      </x:c>
      <x:c r="O104" s="26" t="n">
        <x:f>F104*E104*'Service inputs'!F66</x:f>
        <x:v>35.6098773987</x:v>
      </x:c>
      <x:c r="P104" s="26" t="n">
        <x:f>L104+F104*G104*'Service inputs'!$B$17*'Service inputs'!$B$18*'Service inputs'!$B$19+M104*('Service inputs'!$B$20*'Service inputs'!$B$21+'Service inputs'!$B$22)+N104*'Service inputs'!$B$23+F104*(H104*'Service inputs'!$B$28*'Service inputs'!$B$29+I104*'Service inputs'!$B$24*'Service inputs'!$B$25+J104*'Service inputs'!$B$26*'Service inputs'!$B$27+K104*'Service inputs'!$B$30*'Service inputs'!$B$31)</x:f>
        <x:v>82.13650090995</x:v>
      </x:c>
      <x:c r="Q104" s="26" t="n">
        <x:f>O104/SUM($O$5:$O$320)*SUMIF(Workload!$A$5:$A$40,"Ecology",Workload!$G$5:$G$40)</x:f>
        <x:v>373.8221215763184</x:v>
      </x:c>
      <x:c r="R104" s="27" t="n">
        <x:f>P104/SUMIF(Workload!$A$5:$A$40,"Grounds",Workload!$G$5:$G$40)*Staffing!$J$5+Q104/SUMIF(Workload!$A$5:$A$40,"Ecology",Workload!$G$5:$G$40)*Staffing!$J$7</x:f>
        <x:v>51611.75381750251</x:v>
      </x:c>
      <x:c r="S104" s="7" t="n">
        <x:v>4</x:v>
      </x:c>
      <x:c r="T104" s="23" t="n">
        <x:v>0</x:v>
      </x:c>
      <x:c r="U104" s="7" t="n">
        <x:v>0</x:v>
      </x:c>
      <x:c r="V104" s="7" t="n">
        <x:v>0</x:v>
      </x:c>
      <x:c r="W104" s="7" t="str">
        <x:v>https://parks.portlandciviclab.org/parks/george-himes-park-147</x:v>
      </x:c>
    </x:row>
    <x:row r="105" ht="23" customHeight="1">
      <x:c r="A105" s="8" t="str">
        <x:v>148</x:v>
      </x:c>
      <x:c r="B105" s="8" t="str">
        <x:v>George Park</x:v>
      </x:c>
      <x:c r="C105" s="8" t="str">
        <x:v>developed-park</x:v>
      </x:c>
      <x:c r="D105" s="8" t="str">
        <x:v>District 2</x:v>
      </x:c>
      <x:c r="E105" s="18" t="n">
        <x:v>2.03029862</x:v>
      </x:c>
      <x:c r="F105" s="8" t="n">
        <x:v>1</x:v>
      </x:c>
      <x:c r="G105" s="8" t="n">
        <x:v>0</x:v>
      </x:c>
      <x:c r="H105" s="8" t="n">
        <x:v>1</x:v>
      </x:c>
      <x:c r="I105" s="8" t="n">
        <x:v>0</x:v>
      </x:c>
      <x:c r="J105" s="8" t="n">
        <x:v>0</x:v>
      </x:c>
      <x:c r="K105" s="8" t="n">
        <x:v>0</x:v>
      </x:c>
      <x:c r="L105" s="24" t="n">
        <x:f>F105*'Service inputs'!B65*'Service inputs'!C65</x:f>
        <x:v>547.5</x:v>
      </x:c>
      <x:c r="M105" s="24" t="n">
        <x:f>F105*E105*'Service inputs'!D65</x:f>
        <x:v>1.116664241</x:v>
      </x:c>
      <x:c r="N105" s="24" t="n">
        <x:f>F105*E105*'Service inputs'!E65</x:f>
        <x:v>0.101514931</x:v>
      </x:c>
      <x:c r="O105" s="24" t="n">
        <x:f>F105*E105*'Service inputs'!F65</x:f>
        <x:v>0.507574655</x:v>
      </x:c>
      <x:c r="P105" s="24" t="n">
        <x:f>L105+F105*G105*'Service inputs'!$B$17*'Service inputs'!$B$18*'Service inputs'!$B$19+M105*('Service inputs'!$B$20*'Service inputs'!$B$21+'Service inputs'!$B$22)+N105*'Service inputs'!$B$23+F105*(H105*'Service inputs'!$B$28*'Service inputs'!$B$29+I105*'Service inputs'!$B$24*'Service inputs'!$B$25+J105*'Service inputs'!$B$26*'Service inputs'!$B$27+K105*'Service inputs'!$B$30*'Service inputs'!$B$31)</x:f>
        <x:v>624.365069263</x:v>
      </x:c>
      <x:c r="Q105" s="24" t="n">
        <x:f>O105/SUM($O$5:$O$320)*SUMIF(Workload!$A$5:$A$40,"Ecology",Workload!$G$5:$G$40)</x:f>
        <x:v>5.328370897379017</x:v>
      </x:c>
      <x:c r="R105" s="25" t="n">
        <x:f>P105/SUMIF(Workload!$A$5:$A$40,"Grounds",Workload!$G$5:$G$40)*Staffing!$J$5+Q105/SUMIF(Workload!$A$5:$A$40,"Ecology",Workload!$G$5:$G$40)*Staffing!$J$7</x:f>
        <x:v>64073.30377581207</x:v>
      </x:c>
      <x:c r="S105" s="8" t="n">
        <x:v>9</x:v>
      </x:c>
      <x:c r="T105" s="22" t="n">
        <x:v>0.2222222222222222</x:v>
      </x:c>
      <x:c r="U105" s="8" t="n">
        <x:v>0</x:v>
      </x:c>
      <x:c r="V105" s="8" t="n">
        <x:v>1</x:v>
      </x:c>
      <x:c r="W105" s="8" t="str">
        <x:v>https://parks.portlandciviclab.org/parks/george-park-148</x:v>
      </x:c>
    </x:row>
    <x:row r="106" ht="23" customHeight="1">
      <x:c r="A106" s="7" t="str">
        <x:v>149</x:v>
      </x:c>
      <x:c r="B106" s="7" t="str">
        <x:v>Gilbert Heights Park</x:v>
      </x:c>
      <x:c r="C106" s="7" t="str">
        <x:v>developed-park</x:v>
      </x:c>
      <x:c r="D106" s="7" t="str">
        <x:v>District 1</x:v>
      </x:c>
      <x:c r="E106" s="19" t="n">
        <x:v>3.80785898</x:v>
      </x:c>
      <x:c r="F106" s="7" t="n">
        <x:v>1</x:v>
      </x:c>
      <x:c r="G106" s="7" t="n">
        <x:v>0</x:v>
      </x:c>
      <x:c r="H106" s="7" t="n">
        <x:v>0</x:v>
      </x:c>
      <x:c r="I106" s="7" t="n">
        <x:v>2</x:v>
      </x:c>
      <x:c r="J106" s="7" t="n">
        <x:v>0</x:v>
      </x:c>
      <x:c r="K106" s="7" t="n">
        <x:v>0</x:v>
      </x:c>
      <x:c r="L106" s="26" t="n">
        <x:f>F106*'Service inputs'!B65*'Service inputs'!C65</x:f>
        <x:v>547.5</x:v>
      </x:c>
      <x:c r="M106" s="26" t="n">
        <x:f>F106*E106*'Service inputs'!D65</x:f>
        <x:v>2.094322439</x:v>
      </x:c>
      <x:c r="N106" s="26" t="n">
        <x:f>F106*E106*'Service inputs'!E65</x:f>
        <x:v>0.190392949</x:v>
      </x:c>
      <x:c r="O106" s="26" t="n">
        <x:f>F106*E106*'Service inputs'!F65</x:f>
        <x:v>0.951964745</x:v>
      </x:c>
      <x:c r="P106" s="26" t="n">
        <x:f>L106+F106*G106*'Service inputs'!$B$17*'Service inputs'!$B$18*'Service inputs'!$B$19+M106*('Service inputs'!$B$20*'Service inputs'!$B$21+'Service inputs'!$B$22)+N106*'Service inputs'!$B$23+F106*(H106*'Service inputs'!$B$28*'Service inputs'!$B$29+I106*'Service inputs'!$B$24*'Service inputs'!$B$25+J106*'Service inputs'!$B$26*'Service inputs'!$B$27+K106*'Service inputs'!$B$30*'Service inputs'!$B$31)</x:f>
        <x:v>828.5165699769999</x:v>
      </x:c>
      <x:c r="Q106" s="26" t="n">
        <x:f>O106/SUM($O$5:$O$320)*SUMIF(Workload!$A$5:$A$40,"Ecology",Workload!$G$5:$G$40)</x:f>
        <x:v>9.993448633854337</x:v>
      </x:c>
      <x:c r="R106" s="27" t="n">
        <x:f>P106/SUMIF(Workload!$A$5:$A$40,"Grounds",Workload!$G$5:$G$40)*Staffing!$J$5+Q106/SUMIF(Workload!$A$5:$A$40,"Ecology",Workload!$G$5:$G$40)*Staffing!$J$7</x:f>
        <x:v>85361.91609491246</x:v>
      </x:c>
      <x:c r="S106" s="7" t="n">
        <x:v>48</x:v>
      </x:c>
      <x:c r="T106" s="23" t="n">
        <x:v>0</x:v>
      </x:c>
      <x:c r="U106" s="7" t="n">
        <x:v>2</x:v>
      </x:c>
      <x:c r="V106" s="7" t="n">
        <x:v>0</x:v>
      </x:c>
      <x:c r="W106" s="7" t="str">
        <x:v>https://parks.portlandciviclab.org/parks/gilbert-heights-park-149</x:v>
      </x:c>
    </x:row>
    <x:row r="107" ht="23" customHeight="1">
      <x:c r="A107" s="8" t="str">
        <x:v>150</x:v>
      </x:c>
      <x:c r="B107" s="8" t="str">
        <x:v>Gilbert Primary Park</x:v>
      </x:c>
      <x:c r="C107" s="8" t="str">
        <x:v>developed-park</x:v>
      </x:c>
      <x:c r="D107" s="8" t="str">
        <x:v>District 1</x:v>
      </x:c>
      <x:c r="E107" s="18" t="n">
        <x:v>4.39363213</x:v>
      </x:c>
      <x:c r="F107" s="8" t="n">
        <x:v>1</x:v>
      </x:c>
      <x:c r="G107" s="8" t="n">
        <x:v>0</x:v>
      </x:c>
      <x:c r="H107" s="8" t="n">
        <x:v>1</x:v>
      </x:c>
      <x:c r="I107" s="8" t="n">
        <x:v>1</x:v>
      </x:c>
      <x:c r="J107" s="8" t="n">
        <x:v>0</x:v>
      </x:c>
      <x:c r="K107" s="8" t="n">
        <x:v>0</x:v>
      </x:c>
      <x:c r="L107" s="24" t="n">
        <x:f>F107*'Service inputs'!B65*'Service inputs'!C65</x:f>
        <x:v>547.5</x:v>
      </x:c>
      <x:c r="M107" s="24" t="n">
        <x:f>F107*E107*'Service inputs'!D65</x:f>
        <x:v>2.4164976715</x:v>
      </x:c>
      <x:c r="N107" s="24" t="n">
        <x:f>F107*E107*'Service inputs'!E65</x:f>
        <x:v>0.21968160650000002</x:v>
      </x:c>
      <x:c r="O107" s="24" t="n">
        <x:f>F107*E107*'Service inputs'!F65</x:f>
        <x:v>1.0984080325</x:v>
      </x:c>
      <x:c r="P107" s="24" t="n">
        <x:f>L107+F107*G107*'Service inputs'!$B$17*'Service inputs'!$B$18*'Service inputs'!$B$19+M107*('Service inputs'!$B$20*'Service inputs'!$B$21+'Service inputs'!$B$22)+N107*'Service inputs'!$B$23+F107*(H107*'Service inputs'!$B$28*'Service inputs'!$B$29+I107*'Service inputs'!$B$24*'Service inputs'!$B$25+J107*'Service inputs'!$B$26*'Service inputs'!$B$27+K107*'Service inputs'!$B$30*'Service inputs'!$B$31)</x:f>
        <x:v>773.4412392245</x:v>
      </x:c>
      <x:c r="Q107" s="24" t="n">
        <x:f>O107/SUM($O$5:$O$320)*SUMIF(Workload!$A$5:$A$40,"Ecology",Workload!$G$5:$G$40)</x:f>
        <x:v>11.53076761451051</x:v>
      </x:c>
      <x:c r="R107" s="25" t="n">
        <x:f>P107/SUMIF(Workload!$A$5:$A$40,"Grounds",Workload!$G$5:$G$40)*Staffing!$J$5+Q107/SUMIF(Workload!$A$5:$A$40,"Ecology",Workload!$G$5:$G$40)*Staffing!$J$7</x:f>
        <x:v>79942.31775140383</x:v>
      </x:c>
      <x:c r="S107" s="8" t="n">
        <x:v>30</x:v>
      </x:c>
      <x:c r="T107" s="22" t="n">
        <x:v>0.2</x:v>
      </x:c>
      <x:c r="U107" s="8" t="n">
        <x:v>2</x:v>
      </x:c>
      <x:c r="V107" s="8" t="n">
        <x:v>0</x:v>
      </x:c>
      <x:c r="W107" s="8" t="str">
        <x:v>https://parks.portlandciviclab.org/parks/gilbert-primary-park-150</x:v>
      </x:c>
    </x:row>
    <x:row r="108" ht="23" customHeight="1">
      <x:c r="A108" s="7" t="str">
        <x:v>152</x:v>
      </x:c>
      <x:c r="B108" s="7" t="str">
        <x:v>Glenfair Park</x:v>
      </x:c>
      <x:c r="C108" s="7" t="str">
        <x:v>developed-park</x:v>
      </x:c>
      <x:c r="D108" s="7" t="str">
        <x:v>District 1</x:v>
      </x:c>
      <x:c r="E108" s="19" t="n">
        <x:v>4.73577406</x:v>
      </x:c>
      <x:c r="F108" s="7" t="n">
        <x:v>1</x:v>
      </x:c>
      <x:c r="G108" s="7" t="n">
        <x:v>0</x:v>
      </x:c>
      <x:c r="H108" s="7" t="n">
        <x:v>0</x:v>
      </x:c>
      <x:c r="I108" s="7" t="n">
        <x:v>0</x:v>
      </x:c>
      <x:c r="J108" s="7" t="n">
        <x:v>0</x:v>
      </x:c>
      <x:c r="K108" s="7" t="n">
        <x:v>0</x:v>
      </x:c>
      <x:c r="L108" s="26" t="n">
        <x:f>F108*'Service inputs'!B65*'Service inputs'!C65</x:f>
        <x:v>547.5</x:v>
      </x:c>
      <x:c r="M108" s="26" t="n">
        <x:f>F108*E108*'Service inputs'!D65</x:f>
        <x:v>2.604675733</x:v>
      </x:c>
      <x:c r="N108" s="26" t="n">
        <x:f>F108*E108*'Service inputs'!E65</x:f>
        <x:v>0.236788703</x:v>
      </x:c>
      <x:c r="O108" s="26" t="n">
        <x:f>F108*E108*'Service inputs'!F65</x:f>
        <x:v>1.183943515</x:v>
      </x:c>
      <x:c r="P108" s="26" t="n">
        <x:f>L108+F108*G108*'Service inputs'!$B$17*'Service inputs'!$B$18*'Service inputs'!$B$19+M108*('Service inputs'!$B$20*'Service inputs'!$B$21+'Service inputs'!$B$22)+N108*'Service inputs'!$B$23+F108*(H108*'Service inputs'!$B$28*'Service inputs'!$B$29+I108*'Service inputs'!$B$24*'Service inputs'!$B$25+J108*'Service inputs'!$B$26*'Service inputs'!$B$27+K108*'Service inputs'!$B$30*'Service inputs'!$B$31)</x:f>
        <x:v>635.8221862190001</x:v>
      </x:c>
      <x:c r="Q108" s="26" t="n">
        <x:f>O108/SUM($O$5:$O$320)*SUMIF(Workload!$A$5:$A$40,"Ecology",Workload!$G$5:$G$40)</x:f>
        <x:v>12.428694197638013</x:v>
      </x:c>
      <x:c r="R108" s="27" t="n">
        <x:f>P108/SUMIF(Workload!$A$5:$A$40,"Grounds",Workload!$G$5:$G$40)*Staffing!$J$5+Q108/SUMIF(Workload!$A$5:$A$40,"Ecology",Workload!$G$5:$G$40)*Staffing!$J$7</x:f>
        <x:v>66059.48310893995</x:v>
      </x:c>
      <x:c r="S108" s="7" t="n">
        <x:v>5</x:v>
      </x:c>
      <x:c r="T108" s="23" t="n">
        <x:v>0</x:v>
      </x:c>
      <x:c r="U108" s="7" t="n">
        <x:v>0</x:v>
      </x:c>
      <x:c r="V108" s="7" t="n">
        <x:v>0</x:v>
      </x:c>
      <x:c r="W108" s="7" t="str">
        <x:v>https://parks.portlandciviclab.org/parks/glenfair-park-152</x:v>
      </x:c>
    </x:row>
    <x:row r="109" ht="23" customHeight="1">
      <x:c r="A109" s="8" t="str">
        <x:v>153</x:v>
      </x:c>
      <x:c r="B109" s="8" t="str">
        <x:v>Glenhaven Park</x:v>
      </x:c>
      <x:c r="C109" s="8" t="str">
        <x:v>developed-park</x:v>
      </x:c>
      <x:c r="D109" s="8" t="str">
        <x:v>District 3</x:v>
      </x:c>
      <x:c r="E109" s="18" t="n">
        <x:v>14.39494979</x:v>
      </x:c>
      <x:c r="F109" s="8" t="n">
        <x:v>1</x:v>
      </x:c>
      <x:c r="G109" s="8" t="n">
        <x:v>1</x:v>
      </x:c>
      <x:c r="H109" s="8" t="n">
        <x:v>1</x:v>
      </x:c>
      <x:c r="I109" s="8" t="n">
        <x:v>4</x:v>
      </x:c>
      <x:c r="J109" s="8" t="n">
        <x:v>4</x:v>
      </x:c>
      <x:c r="K109" s="8" t="n">
        <x:v>0</x:v>
      </x:c>
      <x:c r="L109" s="24" t="n">
        <x:f>F109*'Service inputs'!B65*'Service inputs'!C65</x:f>
        <x:v>547.5</x:v>
      </x:c>
      <x:c r="M109" s="24" t="n">
        <x:f>F109*E109*'Service inputs'!D65</x:f>
        <x:v>7.9172223845000005</x:v>
      </x:c>
      <x:c r="N109" s="24" t="n">
        <x:f>F109*E109*'Service inputs'!E65</x:f>
        <x:v>0.7197474895</x:v>
      </x:c>
      <x:c r="O109" s="24" t="n">
        <x:f>F109*E109*'Service inputs'!F65</x:f>
        <x:v>3.5987374475</x:v>
      </x:c>
      <x:c r="P109" s="24" t="n">
        <x:f>L109+F109*G109*'Service inputs'!$B$17*'Service inputs'!$B$18*'Service inputs'!$B$19+M109*('Service inputs'!$B$20*'Service inputs'!$B$21+'Service inputs'!$B$22)+N109*'Service inputs'!$B$23+F109*(H109*'Service inputs'!$B$28*'Service inputs'!$B$29+I109*'Service inputs'!$B$24*'Service inputs'!$B$25+J109*'Service inputs'!$B$26*'Service inputs'!$B$27+K109*'Service inputs'!$B$30*'Service inputs'!$B$31)</x:f>
        <x:v>1668.7158135835</x:v>
      </x:c>
      <x:c r="Q109" s="24" t="n">
        <x:f>O109/SUM($O$5:$O$320)*SUMIF(Workload!$A$5:$A$40,"Ecology",Workload!$G$5:$G$40)</x:f>
        <x:v>37.778497593752085</x:v>
      </x:c>
      <x:c r="R109" s="25" t="n">
        <x:f>P109/SUMIF(Workload!$A$5:$A$40,"Grounds",Workload!$G$5:$G$40)*Staffing!$J$5+Q109/SUMIF(Workload!$A$5:$A$40,"Ecology",Workload!$G$5:$G$40)*Staffing!$J$7</x:f>
        <x:v>173970.27925728683</x:v>
      </x:c>
      <x:c r="S109" s="8" t="n">
        <x:v>110</x:v>
      </x:c>
      <x:c r="T109" s="22" t="n">
        <x:v>0.1</x:v>
      </x:c>
      <x:c r="U109" s="8" t="n">
        <x:v>4</x:v>
      </x:c>
      <x:c r="V109" s="8" t="n">
        <x:v>0</x:v>
      </x:c>
      <x:c r="W109" s="8" t="str">
        <x:v>https://parks.portlandciviclab.org/parks/glenhaven-park-153</x:v>
      </x:c>
    </x:row>
    <x:row r="110" ht="23" customHeight="1">
      <x:c r="A110" s="7" t="str">
        <x:v>154</x:v>
      </x:c>
      <x:c r="B110" s="7" t="str">
        <x:v>Glenwood Park</x:v>
      </x:c>
      <x:c r="C110" s="7" t="str">
        <x:v>developed-park</x:v>
      </x:c>
      <x:c r="D110" s="7" t="str">
        <x:v>District 1</x:v>
      </x:c>
      <x:c r="E110" s="19" t="n">
        <x:v>7.29987113</x:v>
      </x:c>
      <x:c r="F110" s="7" t="n">
        <x:v>1</x:v>
      </x:c>
      <x:c r="G110" s="7" t="n">
        <x:v>1</x:v>
      </x:c>
      <x:c r="H110" s="7" t="n">
        <x:v>1</x:v>
      </x:c>
      <x:c r="I110" s="7" t="n">
        <x:v>2</x:v>
      </x:c>
      <x:c r="J110" s="7" t="n">
        <x:v>2</x:v>
      </x:c>
      <x:c r="K110" s="7" t="n">
        <x:v>0</x:v>
      </x:c>
      <x:c r="L110" s="26" t="n">
        <x:f>F110*'Service inputs'!B65*'Service inputs'!C65</x:f>
        <x:v>547.5</x:v>
      </x:c>
      <x:c r="M110" s="26" t="n">
        <x:f>F110*E110*'Service inputs'!D65</x:f>
        <x:v>4.0149291215</x:v>
      </x:c>
      <x:c r="N110" s="26" t="n">
        <x:f>F110*E110*'Service inputs'!E65</x:f>
        <x:v>0.3649935565</x:v>
      </x:c>
      <x:c r="O110" s="26" t="n">
        <x:f>F110*E110*'Service inputs'!F65</x:f>
        <x:v>1.8249677825</x:v>
      </x:c>
      <x:c r="P110" s="26" t="n">
        <x:f>L110+F110*G110*'Service inputs'!$B$17*'Service inputs'!$B$18*'Service inputs'!$B$19+M110*('Service inputs'!$B$20*'Service inputs'!$B$21+'Service inputs'!$B$22)+N110*'Service inputs'!$B$23+F110*(H110*'Service inputs'!$B$28*'Service inputs'!$B$29+I110*'Service inputs'!$B$24*'Service inputs'!$B$25+J110*'Service inputs'!$B$26*'Service inputs'!$B$27+K110*'Service inputs'!$B$30*'Service inputs'!$B$31)</x:f>
        <x:v>1290.3925965745</x:v>
      </x:c>
      <x:c r="Q110" s="26" t="n">
        <x:f>O110/SUM($O$5:$O$320)*SUMIF(Workload!$A$5:$A$40,"Ecology",Workload!$G$5:$G$40)</x:f>
        <x:v>19.15798025992318</x:v>
      </x:c>
      <x:c r="R110" s="27" t="n">
        <x:f>P110/SUMIF(Workload!$A$5:$A$40,"Grounds",Workload!$G$5:$G$40)*Staffing!$J$5+Q110/SUMIF(Workload!$A$5:$A$40,"Ecology",Workload!$G$5:$G$40)*Staffing!$J$7</x:f>
        <x:v>133364.80563790994</x:v>
      </x:c>
      <x:c r="S110" s="7" t="n">
        <x:v>76</x:v>
      </x:c>
      <x:c r="T110" s="23" t="n">
        <x:v>0.2236842105263158</x:v>
      </x:c>
      <x:c r="U110" s="7" t="n">
        <x:v>12</x:v>
      </x:c>
      <x:c r="V110" s="7" t="n">
        <x:v>0</x:v>
      </x:c>
      <x:c r="W110" s="7" t="str">
        <x:v>https://parks.portlandciviclab.org/parks/glenwood-park-154</x:v>
      </x:c>
    </x:row>
    <x:row r="111" ht="23" customHeight="1">
      <x:c r="A111" s="8" t="str">
        <x:v>156</x:v>
      </x:c>
      <x:c r="B111" s="8" t="str">
        <x:v>Gov Tom McCall Waterfront Park</x:v>
      </x:c>
      <x:c r="C111" s="8" t="str">
        <x:v>developed-park</x:v>
      </x:c>
      <x:c r="D111" s="8" t="str">
        <x:v>District 4</x:v>
      </x:c>
      <x:c r="E111" s="18" t="n">
        <x:v>34.20836254</x:v>
      </x:c>
      <x:c r="F111" s="8" t="n">
        <x:v>1</x:v>
      </x:c>
      <x:c r="G111" s="8" t="n">
        <x:v>3</x:v>
      </x:c>
      <x:c r="H111" s="8" t="n">
        <x:v>0</x:v>
      </x:c>
      <x:c r="I111" s="8" t="n">
        <x:v>0</x:v>
      </x:c>
      <x:c r="J111" s="8" t="n">
        <x:v>0</x:v>
      </x:c>
      <x:c r="K111" s="8" t="n">
        <x:v>1</x:v>
      </x:c>
      <x:c r="L111" s="24" t="n">
        <x:f>F111*'Service inputs'!B65*'Service inputs'!C65</x:f>
        <x:v>547.5</x:v>
      </x:c>
      <x:c r="M111" s="24" t="n">
        <x:f>F111*E111*'Service inputs'!D65</x:f>
        <x:v>18.814599397000002</x:v>
      </x:c>
      <x:c r="N111" s="24" t="n">
        <x:f>F111*E111*'Service inputs'!E65</x:f>
        <x:v>1.7104181270000003</x:v>
      </x:c>
      <x:c r="O111" s="24" t="n">
        <x:f>F111*E111*'Service inputs'!F65</x:f>
        <x:v>8.552090635</x:v>
      </x:c>
      <x:c r="P111" s="24" t="n">
        <x:f>L111+F111*G111*'Service inputs'!$B$17*'Service inputs'!$B$18*'Service inputs'!$B$19+M111*('Service inputs'!$B$20*'Service inputs'!$B$21+'Service inputs'!$B$22)+N111*'Service inputs'!$B$23+F111*(H111*'Service inputs'!$B$28*'Service inputs'!$B$29+I111*'Service inputs'!$B$24*'Service inputs'!$B$25+J111*'Service inputs'!$B$26*'Service inputs'!$B$27+K111*'Service inputs'!$B$30*'Service inputs'!$B$31)</x:f>
        <x:v>2198.735961371</x:v>
      </x:c>
      <x:c r="Q111" s="24" t="n">
        <x:f>O111/SUM($O$5:$O$320)*SUMIF(Workload!$A$5:$A$40,"Ecology",Workload!$G$5:$G$40)</x:f>
        <x:v>89.77735669500998</x:v>
      </x:c>
      <x:c r="R111" s="25" t="n">
        <x:f>P111/SUMIF(Workload!$A$5:$A$40,"Grounds",Workload!$G$5:$G$40)*Staffing!$J$5+Q111/SUMIF(Workload!$A$5:$A$40,"Ecology",Workload!$G$5:$G$40)*Staffing!$J$7</x:f>
        <x:v>233856.30388862087</x:v>
      </x:c>
      <x:c r="S111" s="8" t="n">
        <x:v>411</x:v>
      </x:c>
      <x:c r="T111" s="22" t="n">
        <x:v>0.038929440389294405</x:v>
      </x:c>
      <x:c r="U111" s="8" t="n">
        <x:v>8</x:v>
      </x:c>
      <x:c r="V111" s="8" t="n">
        <x:v>1</x:v>
      </x:c>
      <x:c r="W111" s="8" t="str">
        <x:v>https://parks.portlandciviclab.org/parks/gov-tom-mccall-waterfront-park-156</x:v>
      </x:c>
    </x:row>
    <x:row r="112" ht="23" customHeight="1">
      <x:c r="A112" s="7" t="str">
        <x:v>166</x:v>
      </x:c>
      <x:c r="B112" s="7" t="str">
        <x:v>Governors Park</x:v>
      </x:c>
      <x:c r="C112" s="7" t="str">
        <x:v>natural-area</x:v>
      </x:c>
      <x:c r="D112" s="7" t="str">
        <x:v>District 4</x:v>
      </x:c>
      <x:c r="E112" s="19" t="n">
        <x:v>5.73845117</x:v>
      </x:c>
      <x:c r="F112" s="7" t="n">
        <x:v>1</x:v>
      </x:c>
      <x:c r="G112" s="7" t="n">
        <x:v>0</x:v>
      </x:c>
      <x:c r="H112" s="7" t="n">
        <x:v>0</x:v>
      </x:c>
      <x:c r="I112" s="7" t="n">
        <x:v>0</x:v>
      </x:c>
      <x:c r="J112" s="7" t="n">
        <x:v>0</x:v>
      </x:c>
      <x:c r="K112" s="7" t="n">
        <x:v>0</x:v>
      </x:c>
      <x:c r="L112" s="26" t="n">
        <x:f>F112*'Service inputs'!B66*'Service inputs'!C66</x:f>
        <x:v>78</x:v>
      </x:c>
      <x:c r="M112" s="26" t="n">
        <x:f>F112*E112*'Service inputs'!D66</x:f>
        <x:v>0.02869225585</x:v>
      </x:c>
      <x:c r="N112" s="26" t="n">
        <x:f>F112*E112*'Service inputs'!E66</x:f>
        <x:v>0</x:v>
      </x:c>
      <x:c r="O112" s="26" t="n">
        <x:f>F112*E112*'Service inputs'!F66</x:f>
        <x:v>5.6810666583</x:v>
      </x:c>
      <x:c r="P112" s="26" t="n">
        <x:f>L112+F112*G112*'Service inputs'!$B$17*'Service inputs'!$B$18*'Service inputs'!$B$19+M112*('Service inputs'!$B$20*'Service inputs'!$B$21+'Service inputs'!$B$22)+N112*'Service inputs'!$B$23+F112*(H112*'Service inputs'!$B$28*'Service inputs'!$B$29+I112*'Service inputs'!$B$24*'Service inputs'!$B$25+J112*'Service inputs'!$B$26*'Service inputs'!$B$27+K112*'Service inputs'!$B$30*'Service inputs'!$B$31)</x:f>
        <x:v>78.65992188455</x:v>
      </x:c>
      <x:c r="Q112" s="26" t="n">
        <x:f>O112/SUM($O$5:$O$320)*SUMIF(Workload!$A$5:$A$40,"Ecology",Workload!$G$5:$G$40)</x:f>
        <x:v>59.63818317160848</x:v>
      </x:c>
      <x:c r="R112" s="27" t="n">
        <x:f>P112/SUMIF(Workload!$A$5:$A$40,"Grounds",Workload!$G$5:$G$40)*Staffing!$J$5+Q112/SUMIF(Workload!$A$5:$A$40,"Ecology",Workload!$G$5:$G$40)*Staffing!$J$7</x:f>
        <x:v>14896.67278741271</x:v>
      </x:c>
      <x:c r="S112" s="7" t="n">
        <x:v>0</x:v>
      </x:c>
      <x:c r="T112" s="23" t="n">
        <x:v>0</x:v>
      </x:c>
      <x:c r="U112" s="7" t="n">
        <x:v>0</x:v>
      </x:c>
      <x:c r="V112" s="7" t="n">
        <x:v>0</x:v>
      </x:c>
      <x:c r="W112" s="7" t="str">
        <x:v>https://parks.portlandciviclab.org/parks/governors-park-166</x:v>
      </x:c>
    </x:row>
    <x:row r="113" ht="23" customHeight="1">
      <x:c r="A113" s="8" t="str">
        <x:v>1443</x:v>
      </x:c>
      <x:c r="B113" s="8" t="str">
        <x:v>Grant Community Garden</x:v>
      </x:c>
      <x:c r="C113" s="8" t="str">
        <x:v>community-garden</x:v>
      </x:c>
      <x:c r="D113" s="8" t="str">
        <x:v>District 2</x:v>
      </x:c>
      <x:c r="E113" s="18" t="n">
        <x:v>0.15012728</x:v>
      </x:c>
      <x:c r="F113" s="8" t="n">
        <x:v>1</x:v>
      </x:c>
      <x:c r="G113" s="8" t="n">
        <x:v>0</x:v>
      </x:c>
      <x:c r="H113" s="8" t="n">
        <x:v>0</x:v>
      </x:c>
      <x:c r="I113" s="8" t="n">
        <x:v>0</x:v>
      </x:c>
      <x:c r="J113" s="8" t="n">
        <x:v>0</x:v>
      </x:c>
      <x:c r="K113" s="8" t="n">
        <x:v>0</x:v>
      </x:c>
      <x:c r="L113" s="24" t="n">
        <x:f>F113*'Service inputs'!B67*'Service inputs'!C67</x:f>
        <x:v>52</x:v>
      </x:c>
      <x:c r="M113" s="24" t="n">
        <x:f>F113*E113*'Service inputs'!D67</x:f>
        <x:v>0.007506364000000001</x:v>
      </x:c>
      <x:c r="N113" s="24" t="n">
        <x:f>F113*E113*'Service inputs'!E67</x:f>
        <x:v>0.015012728000000001</x:v>
      </x:c>
      <x:c r="O113" s="24" t="n">
        <x:f>F113*E113*'Service inputs'!F67</x:f>
        <x:v>0</x:v>
      </x:c>
      <x:c r="P113" s="24" t="n">
        <x:f>L113+F113*G113*'Service inputs'!$B$17*'Service inputs'!$B$18*'Service inputs'!$B$19+M113*('Service inputs'!$B$20*'Service inputs'!$B$21+'Service inputs'!$B$22)+N113*'Service inputs'!$B$23+F113*(H113*'Service inputs'!$B$28*'Service inputs'!$B$29+I113*'Service inputs'!$B$24*'Service inputs'!$B$25+J113*'Service inputs'!$B$26*'Service inputs'!$B$27+K113*'Service inputs'!$B$30*'Service inputs'!$B$31)</x:f>
        <x:v>53.974173732000004</x:v>
      </x:c>
      <x:c r="Q113" s="24" t="n">
        <x:f>O113/SUM($O$5:$O$320)*SUMIF(Workload!$A$5:$A$40,"Ecology",Workload!$G$5:$G$40)</x:f>
        <x:v>0</x:v>
      </x:c>
      <x:c r="R113" s="25" t="n">
        <x:f>P113/SUMIF(Workload!$A$5:$A$40,"Grounds",Workload!$G$5:$G$40)*Staffing!$J$5+Q113/SUMIF(Workload!$A$5:$A$40,"Ecology",Workload!$G$5:$G$40)*Staffing!$J$7</x:f>
        <x:v>5485.603479826403</x:v>
      </x:c>
      <x:c r="S113" s="8" t="n">
        <x:v>1</x:v>
      </x:c>
      <x:c r="T113" s="22" t="n">
        <x:v>0</x:v>
      </x:c>
      <x:c r="U113" s="8" t="n">
        <x:v>0</x:v>
      </x:c>
      <x:c r="V113" s="8" t="n">
        <x:v>0</x:v>
      </x:c>
      <x:c r="W113" s="8" t="str">
        <x:v>https://parks.portlandciviclab.org/parks/grant-community-garden-1443</x:v>
      </x:c>
    </x:row>
    <x:row r="114" ht="23" customHeight="1">
      <x:c r="A114" s="7" t="str">
        <x:v>167</x:v>
      </x:c>
      <x:c r="B114" s="7" t="str">
        <x:v>Grant Park</x:v>
      </x:c>
      <x:c r="C114" s="7" t="str">
        <x:v>developed-park</x:v>
      </x:c>
      <x:c r="D114" s="7" t="str">
        <x:v>District 2</x:v>
      </x:c>
      <x:c r="E114" s="19" t="n">
        <x:v>12.37226463</x:v>
      </x:c>
      <x:c r="F114" s="7" t="n">
        <x:v>1</x:v>
      </x:c>
      <x:c r="G114" s="7" t="n">
        <x:v>1</x:v>
      </x:c>
      <x:c r="H114" s="7" t="n">
        <x:v>1</x:v>
      </x:c>
      <x:c r="I114" s="7" t="n">
        <x:v>7</x:v>
      </x:c>
      <x:c r="J114" s="7" t="n">
        <x:v>7</x:v>
      </x:c>
      <x:c r="K114" s="7" t="n">
        <x:v>1</x:v>
      </x:c>
      <x:c r="L114" s="26" t="n">
        <x:f>F114*'Service inputs'!B65*'Service inputs'!C65</x:f>
        <x:v>547.5</x:v>
      </x:c>
      <x:c r="M114" s="26" t="n">
        <x:f>F114*E114*'Service inputs'!D65</x:f>
        <x:v>6.8047455465</x:v>
      </x:c>
      <x:c r="N114" s="26" t="n">
        <x:f>F114*E114*'Service inputs'!E65</x:f>
        <x:v>0.6186132315</x:v>
      </x:c>
      <x:c r="O114" s="26" t="n">
        <x:f>F114*E114*'Service inputs'!F65</x:f>
        <x:v>3.0930661575</x:v>
      </x:c>
      <x:c r="P114" s="26" t="n">
        <x:f>L114+F114*G114*'Service inputs'!$B$17*'Service inputs'!$B$18*'Service inputs'!$B$19+M114*('Service inputs'!$B$20*'Service inputs'!$B$21+'Service inputs'!$B$22)+N114*'Service inputs'!$B$23+F114*(H114*'Service inputs'!$B$28*'Service inputs'!$B$29+I114*'Service inputs'!$B$24*'Service inputs'!$B$25+J114*'Service inputs'!$B$26*'Service inputs'!$B$27+K114*'Service inputs'!$B$30*'Service inputs'!$B$31)</x:f>
        <x:v>2047.9927353495002</x:v>
      </x:c>
      <x:c r="Q114" s="26" t="n">
        <x:f>O114/SUM($O$5:$O$320)*SUMIF(Workload!$A$5:$A$40,"Ecology",Workload!$G$5:$G$40)</x:f>
        <x:v>32.470107667789165</x:v>
      </x:c>
      <x:c r="R114" s="27" t="n">
        <x:f>P114/SUMIF(Workload!$A$5:$A$40,"Grounds",Workload!$G$5:$G$40)*Staffing!$J$5+Q114/SUMIF(Workload!$A$5:$A$40,"Ecology",Workload!$G$5:$G$40)*Staffing!$J$7</x:f>
        <x:v>211903.29501921666</x:v>
      </x:c>
      <x:c r="S114" s="7" t="n">
        <x:v>225</x:v>
      </x:c>
      <x:c r="T114" s="23" t="n">
        <x:v>0.18666666666666668</x:v>
      </x:c>
      <x:c r="U114" s="7" t="n">
        <x:v>12</x:v>
      </x:c>
      <x:c r="V114" s="7" t="n">
        <x:v>3</x:v>
      </x:c>
      <x:c r="W114" s="7" t="str">
        <x:v>https://parks.portlandciviclab.org/parks/grant-park-167</x:v>
      </x:c>
    </x:row>
    <x:row r="115" ht="23" customHeight="1">
      <x:c r="A115" s="8" t="str">
        <x:v>1223</x:v>
      </x:c>
      <x:c r="B115" s="8" t="str">
        <x:v>Green Thumb</x:v>
      </x:c>
      <x:c r="C115" s="8" t="str">
        <x:v>developed-park</x:v>
      </x:c>
      <x:c r="D115" s="8" t="str">
        <x:v>District 3</x:v>
      </x:c>
      <x:c r="E115" s="18" t="n">
        <x:v>12.86345212</x:v>
      </x:c>
      <x:c r="F115" s="8" t="n">
        <x:v>1</x:v>
      </x:c>
      <x:c r="G115" s="8" t="n">
        <x:v>0</x:v>
      </x:c>
      <x:c r="H115" s="8" t="n">
        <x:v>0</x:v>
      </x:c>
      <x:c r="I115" s="8" t="n">
        <x:v>0</x:v>
      </x:c>
      <x:c r="J115" s="8" t="n">
        <x:v>0</x:v>
      </x:c>
      <x:c r="K115" s="8" t="n">
        <x:v>0</x:v>
      </x:c>
      <x:c r="L115" s="24" t="n">
        <x:f>F115*'Service inputs'!B65*'Service inputs'!C65</x:f>
        <x:v>547.5</x:v>
      </x:c>
      <x:c r="M115" s="24" t="n">
        <x:f>F115*E115*'Service inputs'!D65</x:f>
        <x:v>7.074898666</x:v>
      </x:c>
      <x:c r="N115" s="24" t="n">
        <x:f>F115*E115*'Service inputs'!E65</x:f>
        <x:v>0.643172606</x:v>
      </x:c>
      <x:c r="O115" s="24" t="n">
        <x:f>F115*E115*'Service inputs'!F65</x:f>
        <x:v>3.21586303</x:v>
      </x:c>
      <x:c r="P115" s="24" t="n">
        <x:f>L115+F115*G115*'Service inputs'!$B$17*'Service inputs'!$B$18*'Service inputs'!$B$19+M115*('Service inputs'!$B$20*'Service inputs'!$B$21+'Service inputs'!$B$22)+N115*'Service inputs'!$B$23+F115*(H115*'Service inputs'!$B$28*'Service inputs'!$B$29+I115*'Service inputs'!$B$24*'Service inputs'!$B$25+J115*'Service inputs'!$B$26*'Service inputs'!$B$27+K115*'Service inputs'!$B$30*'Service inputs'!$B$31)</x:f>
        <x:v>787.403382038</x:v>
      </x:c>
      <x:c r="Q115" s="24" t="n">
        <x:f>O115/SUM($O$5:$O$320)*SUMIF(Workload!$A$5:$A$40,"Ecology",Workload!$G$5:$G$40)</x:f>
        <x:v>33.759193470779394</x:v>
      </x:c>
      <x:c r="R115" s="25" t="n">
        <x:f>P115/SUMIF(Workload!$A$5:$A$40,"Grounds",Workload!$G$5:$G$40)*Staffing!$J$5+Q115/SUMIF(Workload!$A$5:$A$40,"Ecology",Workload!$G$5:$G$40)*Staffing!$J$7</x:f>
        <x:v>83933.92733387949</x:v>
      </x:c>
      <x:c r="S115" s="8" t="n">
        <x:v>8</x:v>
      </x:c>
      <x:c r="T115" s="22" t="n">
        <x:v>0.5</x:v>
      </x:c>
      <x:c r="U115" s="8" t="n">
        <x:v>0</x:v>
      </x:c>
      <x:c r="V115" s="8" t="n">
        <x:v>0</x:v>
      </x:c>
      <x:c r="W115" s="8" t="str">
        <x:v>https://parks.portlandciviclab.org/parks/green-thumb-1223</x:v>
      </x:c>
    </x:row>
    <x:row r="116" ht="23" customHeight="1">
      <x:c r="A116" s="7" t="str">
        <x:v>170</x:v>
      </x:c>
      <x:c r="B116" s="7" t="str">
        <x:v>Hamilton Park</x:v>
      </x:c>
      <x:c r="C116" s="7" t="str">
        <x:v>developed-park</x:v>
      </x:c>
      <x:c r="D116" s="7" t="str">
        <x:v>District 4</x:v>
      </x:c>
      <x:c r="E116" s="19" t="n">
        <x:v>10.48600884</x:v>
      </x:c>
      <x:c r="F116" s="7" t="n">
        <x:v>1</x:v>
      </x:c>
      <x:c r="G116" s="7" t="n">
        <x:v>0</x:v>
      </x:c>
      <x:c r="H116" s="7" t="n">
        <x:v>1</x:v>
      </x:c>
      <x:c r="I116" s="7" t="n">
        <x:v>2</x:v>
      </x:c>
      <x:c r="J116" s="7" t="n">
        <x:v>2</x:v>
      </x:c>
      <x:c r="K116" s="7" t="n">
        <x:v>0</x:v>
      </x:c>
      <x:c r="L116" s="26" t="n">
        <x:f>F116*'Service inputs'!B65*'Service inputs'!C65</x:f>
        <x:v>547.5</x:v>
      </x:c>
      <x:c r="M116" s="26" t="n">
        <x:f>F116*E116*'Service inputs'!D65</x:f>
        <x:v>5.7673048620000005</x:v>
      </x:c>
      <x:c r="N116" s="26" t="n">
        <x:f>F116*E116*'Service inputs'!E65</x:f>
        <x:v>0.524300442</x:v>
      </x:c>
      <x:c r="O116" s="26" t="n">
        <x:f>F116*E116*'Service inputs'!F65</x:f>
        <x:v>2.62150221</x:v>
      </x:c>
      <x:c r="P116" s="26" t="n">
        <x:f>L116+F116*G116*'Service inputs'!$B$17*'Service inputs'!$B$18*'Service inputs'!$B$19+M116*('Service inputs'!$B$20*'Service inputs'!$B$21+'Service inputs'!$B$22)+N116*'Service inputs'!$B$23+F116*(H116*'Service inputs'!$B$28*'Service inputs'!$B$29+I116*'Service inputs'!$B$24*'Service inputs'!$B$25+J116*'Service inputs'!$B$26*'Service inputs'!$B$27+K116*'Service inputs'!$B$30*'Service inputs'!$B$31)</x:f>
        <x:v>1028.064064866</x:v>
      </x:c>
      <x:c r="Q116" s="26" t="n">
        <x:f>O116/SUM($O$5:$O$320)*SUMIF(Workload!$A$5:$A$40,"Ecology",Workload!$G$5:$G$40)</x:f>
        <x:v>27.519766689648392</x:v>
      </x:c>
      <x:c r="R116" s="27" t="n">
        <x:f>P116/SUMIF(Workload!$A$5:$A$40,"Grounds",Workload!$G$5:$G$40)*Staffing!$J$5+Q116/SUMIF(Workload!$A$5:$A$40,"Ecology",Workload!$G$5:$G$40)*Staffing!$J$7</x:f>
        <x:v>107671.0874682964</x:v>
      </x:c>
      <x:c r="S116" s="7" t="n">
        <x:v>33</x:v>
      </x:c>
      <x:c r="T116" s="23" t="n">
        <x:v>0.15151515151515152</x:v>
      </x:c>
      <x:c r="U116" s="7" t="n">
        <x:v>0</x:v>
      </x:c>
      <x:c r="V116" s="7" t="n">
        <x:v>0</x:v>
      </x:c>
      <x:c r="W116" s="7" t="str">
        <x:v>https://parks.portlandciviclab.org/parks/hamilton-park-170</x:v>
      </x:c>
    </x:row>
    <x:row r="117" ht="23" customHeight="1">
      <x:c r="A117" s="8" t="str">
        <x:v>171</x:v>
      </x:c>
      <x:c r="B117" s="8" t="str">
        <x:v>Hancock Park</x:v>
      </x:c>
      <x:c r="C117" s="8" t="str">
        <x:v>developed-park</x:v>
      </x:c>
      <x:c r="D117" s="8" t="str">
        <x:v>District 3</x:v>
      </x:c>
      <x:c r="E117" s="18" t="n">
        <x:v>3.60022965</x:v>
      </x:c>
      <x:c r="F117" s="8" t="n">
        <x:v>1</x:v>
      </x:c>
      <x:c r="G117" s="8" t="n">
        <x:v>0</x:v>
      </x:c>
      <x:c r="H117" s="8" t="n">
        <x:v>1</x:v>
      </x:c>
      <x:c r="I117" s="8" t="n">
        <x:v>1</x:v>
      </x:c>
      <x:c r="J117" s="8" t="n">
        <x:v>0</x:v>
      </x:c>
      <x:c r="K117" s="8" t="n">
        <x:v>0</x:v>
      </x:c>
      <x:c r="L117" s="24" t="n">
        <x:f>F117*'Service inputs'!B65*'Service inputs'!C65</x:f>
        <x:v>547.5</x:v>
      </x:c>
      <x:c r="M117" s="24" t="n">
        <x:f>F117*E117*'Service inputs'!D65</x:f>
        <x:v>1.9801263075000002</x:v>
      </x:c>
      <x:c r="N117" s="24" t="n">
        <x:f>F117*E117*'Service inputs'!E65</x:f>
        <x:v>0.18001148250000001</x:v>
      </x:c>
      <x:c r="O117" s="24" t="n">
        <x:f>F117*E117*'Service inputs'!F65</x:f>
        <x:v>0.9000574125</x:v>
      </x:c>
      <x:c r="P117" s="24" t="n">
        <x:f>L117+F117*G117*'Service inputs'!$B$17*'Service inputs'!$B$18*'Service inputs'!$B$19+M117*('Service inputs'!$B$20*'Service inputs'!$B$21+'Service inputs'!$B$22)+N117*'Service inputs'!$B$23+F117*(H117*'Service inputs'!$B$28*'Service inputs'!$B$29+I117*'Service inputs'!$B$24*'Service inputs'!$B$25+J117*'Service inputs'!$B$26*'Service inputs'!$B$27+K117*'Service inputs'!$B$30*'Service inputs'!$B$31)</x:f>
        <x:v>758.6442829725</x:v>
      </x:c>
      <x:c r="Q117" s="24" t="n">
        <x:f>O117/SUM($O$5:$O$320)*SUMIF(Workload!$A$5:$A$40,"Ecology",Workload!$G$5:$G$40)</x:f>
        <x:v>9.448540575248504</x:v>
      </x:c>
      <x:c r="R117" s="25" t="n">
        <x:f>P117/SUMIF(Workload!$A$5:$A$40,"Grounds",Workload!$G$5:$G$40)*Staffing!$J$5+Q117/SUMIF(Workload!$A$5:$A$40,"Ecology",Workload!$G$5:$G$40)*Staffing!$J$7</x:f>
        <x:v>78197.46168402549</x:v>
      </x:c>
      <x:c r="S117" s="8" t="n">
        <x:v>17</x:v>
      </x:c>
      <x:c r="T117" s="22" t="n">
        <x:v>0.35294117647058826</x:v>
      </x:c>
      <x:c r="U117" s="8" t="n">
        <x:v>2</x:v>
      </x:c>
      <x:c r="V117" s="8" t="n">
        <x:v>0</x:v>
      </x:c>
      <x:c r="W117" s="8" t="str">
        <x:v>https://parks.portlandciviclab.org/parks/hancock-park-171</x:v>
      </x:c>
    </x:row>
    <x:row r="118" ht="23" customHeight="1">
      <x:c r="A118" s="7" t="str">
        <x:v>172</x:v>
      </x:c>
      <x:c r="B118" s="7" t="str">
        <x:v>Harbor View Property</x:v>
      </x:c>
      <x:c r="C118" s="7" t="str">
        <x:v>natural-area</x:v>
      </x:c>
      <x:c r="D118" s="7" t="str">
        <x:v>District 2</x:v>
      </x:c>
      <x:c r="E118" s="19" t="n">
        <x:v>2.84276092</x:v>
      </x:c>
      <x:c r="F118" s="7" t="n">
        <x:v>1</x:v>
      </x:c>
      <x:c r="G118" s="7" t="n">
        <x:v>0</x:v>
      </x:c>
      <x:c r="H118" s="7" t="n">
        <x:v>0</x:v>
      </x:c>
      <x:c r="I118" s="7" t="n">
        <x:v>0</x:v>
      </x:c>
      <x:c r="J118" s="7" t="n">
        <x:v>0</x:v>
      </x:c>
      <x:c r="K118" s="7" t="n">
        <x:v>0</x:v>
      </x:c>
      <x:c r="L118" s="26" t="n">
        <x:f>F118*'Service inputs'!B66*'Service inputs'!C66</x:f>
        <x:v>78</x:v>
      </x:c>
      <x:c r="M118" s="26" t="n">
        <x:f>F118*E118*'Service inputs'!D66</x:f>
        <x:v>0.0142138046</x:v>
      </x:c>
      <x:c r="N118" s="26" t="n">
        <x:f>F118*E118*'Service inputs'!E66</x:f>
        <x:v>0</x:v>
      </x:c>
      <x:c r="O118" s="26" t="n">
        <x:f>F118*E118*'Service inputs'!F66</x:f>
        <x:v>2.8143333108</x:v>
      </x:c>
      <x:c r="P118" s="26" t="n">
        <x:f>L118+F118*G118*'Service inputs'!$B$17*'Service inputs'!$B$18*'Service inputs'!$B$19+M118*('Service inputs'!$B$20*'Service inputs'!$B$21+'Service inputs'!$B$22)+N118*'Service inputs'!$B$23+F118*(H118*'Service inputs'!$B$28*'Service inputs'!$B$29+I118*'Service inputs'!$B$24*'Service inputs'!$B$25+J118*'Service inputs'!$B$26*'Service inputs'!$B$27+K118*'Service inputs'!$B$30*'Service inputs'!$B$31)</x:f>
        <x:v>78.3269175058</x:v>
      </x:c>
      <x:c r="Q118" s="26" t="n">
        <x:f>O118/SUM($O$5:$O$320)*SUMIF(Workload!$A$5:$A$40,"Ecology",Workload!$G$5:$G$40)</x:f>
        <x:v>29.544051423905422</x:v>
      </x:c>
      <x:c r="R118" s="27" t="n">
        <x:f>P118/SUMIF(Workload!$A$5:$A$40,"Grounds",Workload!$G$5:$G$40)*Staffing!$J$5+Q118/SUMIF(Workload!$A$5:$A$40,"Ecology",Workload!$G$5:$G$40)*Staffing!$J$7</x:f>
        <x:v>11379.91603893803</x:v>
      </x:c>
      <x:c r="S118" s="7" t="n">
        <x:v>0</x:v>
      </x:c>
      <x:c r="T118" s="23" t="n">
        <x:v>0</x:v>
      </x:c>
      <x:c r="U118" s="7" t="n">
        <x:v>0</x:v>
      </x:c>
      <x:c r="V118" s="7" t="n">
        <x:v>0</x:v>
      </x:c>
      <x:c r="W118" s="7" t="str">
        <x:v>https://parks.portlandciviclab.org/parks/harbor-view-property-172</x:v>
      </x:c>
    </x:row>
    <x:row r="119" ht="23" customHeight="1">
      <x:c r="A119" s="8" t="str">
        <x:v>173</x:v>
      </x:c>
      <x:c r="B119" s="8" t="str">
        <x:v>Harney Park</x:v>
      </x:c>
      <x:c r="C119" s="8" t="str">
        <x:v>developed-park</x:v>
      </x:c>
      <x:c r="D119" s="8" t="str">
        <x:v>District 3</x:v>
      </x:c>
      <x:c r="E119" s="18" t="n">
        <x:v>6.50127548</x:v>
      </x:c>
      <x:c r="F119" s="8" t="n">
        <x:v>1</x:v>
      </x:c>
      <x:c r="G119" s="8" t="n">
        <x:v>1</x:v>
      </x:c>
      <x:c r="H119" s="8" t="n">
        <x:v>1</x:v>
      </x:c>
      <x:c r="I119" s="8" t="n">
        <x:v>3</x:v>
      </x:c>
      <x:c r="J119" s="8" t="n">
        <x:v>1</x:v>
      </x:c>
      <x:c r="K119" s="8" t="n">
        <x:v>0</x:v>
      </x:c>
      <x:c r="L119" s="24" t="n">
        <x:f>F119*'Service inputs'!B65*'Service inputs'!C65</x:f>
        <x:v>547.5</x:v>
      </x:c>
      <x:c r="M119" s="24" t="n">
        <x:f>F119*E119*'Service inputs'!D65</x:f>
        <x:v>3.5757015140000004</x:v>
      </x:c>
      <x:c r="N119" s="24" t="n">
        <x:f>F119*E119*'Service inputs'!E65</x:f>
        <x:v>0.325063774</x:v>
      </x:c>
      <x:c r="O119" s="24" t="n">
        <x:f>F119*E119*'Service inputs'!F65</x:f>
        <x:v>1.62531887</x:v>
      </x:c>
      <x:c r="P119" s="24" t="n">
        <x:f>L119+F119*G119*'Service inputs'!$B$17*'Service inputs'!$B$18*'Service inputs'!$B$19+M119*('Service inputs'!$B$20*'Service inputs'!$B$21+'Service inputs'!$B$22)+N119*'Service inputs'!$B$23+F119*(H119*'Service inputs'!$B$28*'Service inputs'!$B$29+I119*'Service inputs'!$B$24*'Service inputs'!$B$25+J119*'Service inputs'!$B$26*'Service inputs'!$B$27+K119*'Service inputs'!$B$30*'Service inputs'!$B$31)</x:f>
        <x:v>1362.498787702</x:v>
      </x:c>
      <x:c r="Q119" s="24" t="n">
        <x:f>O119/SUM($O$5:$O$320)*SUMIF(Workload!$A$5:$A$40,"Ecology",Workload!$G$5:$G$40)</x:f>
        <x:v>17.062124124123077</x:v>
      </x:c>
      <x:c r="R119" s="25" t="n">
        <x:f>P119/SUMIF(Workload!$A$5:$A$40,"Grounds",Workload!$G$5:$G$40)*Staffing!$J$5+Q119/SUMIF(Workload!$A$5:$A$40,"Ecology",Workload!$G$5:$G$40)*Staffing!$J$7</x:f>
        <x:v>140450.67431554437</x:v>
      </x:c>
      <x:c r="S119" s="8" t="n">
        <x:v>80</x:v>
      </x:c>
      <x:c r="T119" s="22" t="n">
        <x:v>0.1875</x:v>
      </x:c>
      <x:c r="U119" s="8" t="n">
        <x:v>4</x:v>
      </x:c>
      <x:c r="V119" s="8" t="n">
        <x:v>2</x:v>
      </x:c>
      <x:c r="W119" s="8" t="str">
        <x:v>https://parks.portlandciviclab.org/parks/harney-park-173</x:v>
      </x:c>
    </x:row>
    <x:row r="120" ht="23" customHeight="1">
      <x:c r="A120" s="7" t="str">
        <x:v>175</x:v>
      </x:c>
      <x:c r="B120" s="7" t="str">
        <x:v>Harrison Park</x:v>
      </x:c>
      <x:c r="C120" s="7" t="str">
        <x:v>developed-park</x:v>
      </x:c>
      <x:c r="D120" s="7" t="str">
        <x:v>District 3</x:v>
      </x:c>
      <x:c r="E120" s="19" t="n">
        <x:v>4.63379391</x:v>
      </x:c>
      <x:c r="F120" s="7" t="n">
        <x:v>1</x:v>
      </x:c>
      <x:c r="G120" s="7" t="n">
        <x:v>0</x:v>
      </x:c>
      <x:c r="H120" s="7" t="n">
        <x:v>1</x:v>
      </x:c>
      <x:c r="I120" s="7" t="n">
        <x:v>2</x:v>
      </x:c>
      <x:c r="J120" s="7" t="n">
        <x:v>0</x:v>
      </x:c>
      <x:c r="K120" s="7" t="n">
        <x:v>0</x:v>
      </x:c>
      <x:c r="L120" s="26" t="n">
        <x:f>F120*'Service inputs'!B65*'Service inputs'!C65</x:f>
        <x:v>547.5</x:v>
      </x:c>
      <x:c r="M120" s="26" t="n">
        <x:f>F120*E120*'Service inputs'!D65</x:f>
        <x:v>2.5485866505</x:v>
      </x:c>
      <x:c r="N120" s="26" t="n">
        <x:f>F120*E120*'Service inputs'!E65</x:f>
        <x:v>0.2316896955</x:v>
      </x:c>
      <x:c r="O120" s="26" t="n">
        <x:f>F120*E120*'Service inputs'!F65</x:f>
        <x:v>1.1584484775</x:v>
      </x:c>
      <x:c r="P120" s="26" t="n">
        <x:f>L120+F120*G120*'Service inputs'!$B$17*'Service inputs'!$B$18*'Service inputs'!$B$19+M120*('Service inputs'!$B$20*'Service inputs'!$B$21+'Service inputs'!$B$22)+N120*'Service inputs'!$B$23+F120*(H120*'Service inputs'!$B$28*'Service inputs'!$B$29+I120*'Service inputs'!$B$24*'Service inputs'!$B$25+J120*'Service inputs'!$B$26*'Service inputs'!$B$27+K120*'Service inputs'!$B$30*'Service inputs'!$B$31)</x:f>
        <x:v>882.9202564215001</x:v>
      </x:c>
      <x:c r="Q120" s="26" t="n">
        <x:f>O120/SUM($O$5:$O$320)*SUMIF(Workload!$A$5:$A$40,"Ecology",Workload!$G$5:$G$40)</x:f>
        <x:v>12.16105471937725</x:v>
      </x:c>
      <x:c r="R120" s="27" t="n">
        <x:f>P120/SUMIF(Workload!$A$5:$A$40,"Grounds",Workload!$G$5:$G$40)*Staffing!$J$5+Q120/SUMIF(Workload!$A$5:$A$40,"Ecology",Workload!$G$5:$G$40)*Staffing!$J$7</x:f>
        <x:v>91142.03818612255</x:v>
      </x:c>
      <x:c r="S120" s="7" t="n">
        <x:v>30</x:v>
      </x:c>
      <x:c r="T120" s="23" t="n">
        <x:v>0.1</x:v>
      </x:c>
      <x:c r="U120" s="7" t="n">
        <x:v>0</x:v>
      </x:c>
      <x:c r="V120" s="7" t="n">
        <x:v>0</x:v>
      </x:c>
      <x:c r="W120" s="7" t="str">
        <x:v>https://parks.portlandciviclab.org/parks/harrison-park-175</x:v>
      </x:c>
    </x:row>
    <x:row r="121" ht="23" customHeight="1">
      <x:c r="A121" s="8" t="str">
        <x:v>1237</x:v>
      </x:c>
      <x:c r="B121" s="8" t="str">
        <x:v>Hazeltine Park</x:v>
      </x:c>
      <x:c r="C121" s="8" t="str">
        <x:v>natural-area</x:v>
      </x:c>
      <x:c r="D121" s="8" t="str">
        <x:v>District 3</x:v>
      </x:c>
      <x:c r="E121" s="18" t="n">
        <x:v>1.02336288</x:v>
      </x:c>
      <x:c r="F121" s="8" t="n">
        <x:v>1</x:v>
      </x:c>
      <x:c r="G121" s="8" t="n">
        <x:v>0</x:v>
      </x:c>
      <x:c r="H121" s="8" t="n">
        <x:v>0</x:v>
      </x:c>
      <x:c r="I121" s="8" t="n">
        <x:v>0</x:v>
      </x:c>
      <x:c r="J121" s="8" t="n">
        <x:v>0</x:v>
      </x:c>
      <x:c r="K121" s="8" t="n">
        <x:v>0</x:v>
      </x:c>
      <x:c r="L121" s="24" t="n">
        <x:f>F121*'Service inputs'!B66*'Service inputs'!C66</x:f>
        <x:v>78</x:v>
      </x:c>
      <x:c r="M121" s="24" t="n">
        <x:f>F121*E121*'Service inputs'!D66</x:f>
        <x:v>0.005116814400000001</x:v>
      </x:c>
      <x:c r="N121" s="24" t="n">
        <x:f>F121*E121*'Service inputs'!E66</x:f>
        <x:v>0</x:v>
      </x:c>
      <x:c r="O121" s="24" t="n">
        <x:f>F121*E121*'Service inputs'!F66</x:f>
        <x:v>1.0131292512</x:v>
      </x:c>
      <x:c r="P121" s="24" t="n">
        <x:f>L121+F121*G121*'Service inputs'!$B$17*'Service inputs'!$B$18*'Service inputs'!$B$19+M121*('Service inputs'!$B$20*'Service inputs'!$B$21+'Service inputs'!$B$22)+N121*'Service inputs'!$B$23+F121*(H121*'Service inputs'!$B$28*'Service inputs'!$B$29+I121*'Service inputs'!$B$24*'Service inputs'!$B$25+J121*'Service inputs'!$B$26*'Service inputs'!$B$27+K121*'Service inputs'!$B$30*'Service inputs'!$B$31)</x:f>
        <x:v>78.1176867312</x:v>
      </x:c>
      <x:c r="Q121" s="24" t="n">
        <x:f>O121/SUM($O$5:$O$320)*SUMIF(Workload!$A$5:$A$40,"Ecology",Workload!$G$5:$G$40)</x:f>
        <x:v>10.635535805816536</x:v>
      </x:c>
      <x:c r="R121" s="25" t="n">
        <x:f>P121/SUMIF(Workload!$A$5:$A$40,"Grounds",Workload!$G$5:$G$40)*Staffing!$J$5+Q121/SUMIF(Workload!$A$5:$A$40,"Ecology",Workload!$G$5:$G$40)*Staffing!$J$7</x:f>
        <x:v>9170.294227581793</x:v>
      </x:c>
      <x:c r="S121" s="8" t="n">
        <x:v>11</x:v>
      </x:c>
      <x:c r="T121" s="22" t="n">
        <x:v>0.09090909090909091</x:v>
      </x:c>
      <x:c r="U121" s="8" t="n">
        <x:v>0</x:v>
      </x:c>
      <x:c r="V121" s="8" t="n">
        <x:v>0</x:v>
      </x:c>
      <x:c r="W121" s="8" t="str">
        <x:v>https://parks.portlandciviclab.org/parks/hazeltine-park-1237</x:v>
      </x:c>
    </x:row>
    <x:row r="122" ht="23" customHeight="1">
      <x:c r="A122" s="7" t="str">
        <x:v>1336</x:v>
      </x:c>
      <x:c r="B122" s="7" t="str">
        <x:v>Hazelwood Community Garden</x:v>
      </x:c>
      <x:c r="C122" s="7" t="str">
        <x:v>community-garden</x:v>
      </x:c>
      <x:c r="D122" s="7" t="str">
        <x:v>District 1</x:v>
      </x:c>
      <x:c r="E122" s="19" t="n">
        <x:v>0.33876732</x:v>
      </x:c>
      <x:c r="F122" s="7" t="n">
        <x:v>1</x:v>
      </x:c>
      <x:c r="G122" s="7" t="n">
        <x:v>0</x:v>
      </x:c>
      <x:c r="H122" s="7" t="n">
        <x:v>0</x:v>
      </x:c>
      <x:c r="I122" s="7" t="n">
        <x:v>0</x:v>
      </x:c>
      <x:c r="J122" s="7" t="n">
        <x:v>0</x:v>
      </x:c>
      <x:c r="K122" s="7" t="n">
        <x:v>0</x:v>
      </x:c>
      <x:c r="L122" s="26" t="n">
        <x:f>F122*'Service inputs'!B67*'Service inputs'!C67</x:f>
        <x:v>52</x:v>
      </x:c>
      <x:c r="M122" s="26" t="n">
        <x:f>F122*E122*'Service inputs'!D67</x:f>
        <x:v>0.016938366</x:v>
      </x:c>
      <x:c r="N122" s="26" t="n">
        <x:f>F122*E122*'Service inputs'!E67</x:f>
        <x:v>0.033876732</x:v>
      </x:c>
      <x:c r="O122" s="26" t="n">
        <x:f>F122*E122*'Service inputs'!F67</x:f>
        <x:v>0</x:v>
      </x:c>
      <x:c r="P122" s="26" t="n">
        <x:f>L122+F122*G122*'Service inputs'!$B$17*'Service inputs'!$B$18*'Service inputs'!$B$19+M122*('Service inputs'!$B$20*'Service inputs'!$B$21+'Service inputs'!$B$22)+N122*'Service inputs'!$B$23+F122*(H122*'Service inputs'!$B$28*'Service inputs'!$B$29+I122*'Service inputs'!$B$24*'Service inputs'!$B$25+J122*'Service inputs'!$B$26*'Service inputs'!$B$27+K122*'Service inputs'!$B$30*'Service inputs'!$B$31)</x:f>
        <x:v>56.454790258</x:v>
      </x:c>
      <x:c r="Q122" s="26" t="n">
        <x:f>O122/SUM($O$5:$O$320)*SUMIF(Workload!$A$5:$A$40,"Ecology",Workload!$G$5:$G$40)</x:f>
        <x:v>0</x:v>
      </x:c>
      <x:c r="R122" s="27" t="n">
        <x:f>P122/SUMIF(Workload!$A$5:$A$40,"Grounds",Workload!$G$5:$G$40)*Staffing!$J$5+Q122/SUMIF(Workload!$A$5:$A$40,"Ecology",Workload!$G$5:$G$40)*Staffing!$J$7</x:f>
        <x:v>5737.718106253242</x:v>
      </x:c>
      <x:c r="S122" s="7" t="n">
        <x:v>3</x:v>
      </x:c>
      <x:c r="T122" s="23" t="n">
        <x:v>0.3333333333333333</x:v>
      </x:c>
      <x:c r="U122" s="7" t="n">
        <x:v>0</x:v>
      </x:c>
      <x:c r="V122" s="7" t="n">
        <x:v>0</x:v>
      </x:c>
      <x:c r="W122" s="7" t="str">
        <x:v>https://parks.portlandciviclab.org/parks/hazelwood-community-garden-1336</x:v>
      </x:c>
    </x:row>
    <x:row r="123" ht="23" customHeight="1">
      <x:c r="A123" s="8" t="str">
        <x:v>178</x:v>
      </x:c>
      <x:c r="B123" s="8" t="str">
        <x:v>Healy Heights Park</x:v>
      </x:c>
      <x:c r="C123" s="8" t="str">
        <x:v>developed-park</x:v>
      </x:c>
      <x:c r="D123" s="8" t="str">
        <x:v>District 4</x:v>
      </x:c>
      <x:c r="E123" s="18" t="n">
        <x:v>1.18481341</x:v>
      </x:c>
      <x:c r="F123" s="8" t="n">
        <x:v>1</x:v>
      </x:c>
      <x:c r="G123" s="8" t="n">
        <x:v>0</x:v>
      </x:c>
      <x:c r="H123" s="8" t="n">
        <x:v>1</x:v>
      </x:c>
      <x:c r="I123" s="8" t="n">
        <x:v>2</x:v>
      </x:c>
      <x:c r="J123" s="8" t="n">
        <x:v>1</x:v>
      </x:c>
      <x:c r="K123" s="8" t="n">
        <x:v>0</x:v>
      </x:c>
      <x:c r="L123" s="24" t="n">
        <x:f>F123*'Service inputs'!B65*'Service inputs'!C65</x:f>
        <x:v>547.5</x:v>
      </x:c>
      <x:c r="M123" s="24" t="n">
        <x:f>F123*E123*'Service inputs'!D65</x:f>
        <x:v>0.6516473755000001</x:v>
      </x:c>
      <x:c r="N123" s="24" t="n">
        <x:f>F123*E123*'Service inputs'!E65</x:f>
        <x:v>0.05924067050000001</x:v>
      </x:c>
      <x:c r="O123" s="24" t="n">
        <x:f>F123*E123*'Service inputs'!F65</x:f>
        <x:v>0.2962033525</x:v>
      </x:c>
      <x:c r="P123" s="24" t="n">
        <x:f>L123+F123*G123*'Service inputs'!$B$17*'Service inputs'!$B$18*'Service inputs'!$B$19+M123*('Service inputs'!$B$20*'Service inputs'!$B$21+'Service inputs'!$B$22)+N123*'Service inputs'!$B$23+F123*(H123*'Service inputs'!$B$28*'Service inputs'!$B$29+I123*'Service inputs'!$B$24*'Service inputs'!$B$25+J123*'Service inputs'!$B$26*'Service inputs'!$B$27+K123*'Service inputs'!$B$30*'Service inputs'!$B$31)</x:f>
        <x:v>836.5967700965</x:v>
      </x:c>
      <x:c r="Q123" s="24" t="n">
        <x:f>O123/SUM($O$5:$O$320)*SUMIF(Workload!$A$5:$A$40,"Ecology",Workload!$G$5:$G$40)</x:f>
        <x:v>3.109456525497906</x:v>
      </x:c>
      <x:c r="R123" s="25" t="n">
        <x:f>P123/SUMIF(Workload!$A$5:$A$40,"Grounds",Workload!$G$5:$G$40)*Staffing!$J$5+Q123/SUMIF(Workload!$A$5:$A$40,"Ecology",Workload!$G$5:$G$40)*Staffing!$J$7</x:f>
        <x:v>85386.42652034943</x:v>
      </x:c>
      <x:c r="S123" s="8" t="n">
        <x:v>11</x:v>
      </x:c>
      <x:c r="T123" s="22" t="n">
        <x:v>0.09090909090909091</x:v>
      </x:c>
      <x:c r="U123" s="8" t="n">
        <x:v>0</x:v>
      </x:c>
      <x:c r="V123" s="8" t="n">
        <x:v>0</x:v>
      </x:c>
      <x:c r="W123" s="8" t="str">
        <x:v>https://parks.portlandciviclab.org/parks/healy-heights-park-178</x:v>
      </x:c>
    </x:row>
    <x:row r="124" ht="23" customHeight="1">
      <x:c r="A124" s="7" t="str">
        <x:v>1459</x:v>
      </x:c>
      <x:c r="B124" s="7" t="str">
        <x:v>Helensview Community Garden</x:v>
      </x:c>
      <x:c r="C124" s="7" t="str">
        <x:v>community-garden</x:v>
      </x:c>
      <x:c r="D124" s="7" t="str">
        <x:v>District 1</x:v>
      </x:c>
      <x:c r="E124" s="19" t="n">
        <x:v>0.25124483</x:v>
      </x:c>
      <x:c r="F124" s="7" t="n">
        <x:v>1</x:v>
      </x:c>
      <x:c r="G124" s="7" t="n">
        <x:v>0</x:v>
      </x:c>
      <x:c r="H124" s="7" t="n">
        <x:v>0</x:v>
      </x:c>
      <x:c r="I124" s="7" t="n">
        <x:v>0</x:v>
      </x:c>
      <x:c r="J124" s="7" t="n">
        <x:v>0</x:v>
      </x:c>
      <x:c r="K124" s="7" t="n">
        <x:v>0</x:v>
      </x:c>
      <x:c r="L124" s="26" t="n">
        <x:f>F124*'Service inputs'!B67*'Service inputs'!C67</x:f>
        <x:v>52</x:v>
      </x:c>
      <x:c r="M124" s="26" t="n">
        <x:f>F124*E124*'Service inputs'!D67</x:f>
        <x:v>0.0125622415</x:v>
      </x:c>
      <x:c r="N124" s="26" t="n">
        <x:f>F124*E124*'Service inputs'!E67</x:f>
        <x:v>0.025124483</x:v>
      </x:c>
      <x:c r="O124" s="26" t="n">
        <x:f>F124*E124*'Service inputs'!F67</x:f>
        <x:v>0</x:v>
      </x:c>
      <x:c r="P124" s="26" t="n">
        <x:f>L124+F124*G124*'Service inputs'!$B$17*'Service inputs'!$B$18*'Service inputs'!$B$19+M124*('Service inputs'!$B$20*'Service inputs'!$B$21+'Service inputs'!$B$22)+N124*'Service inputs'!$B$23+F124*(H124*'Service inputs'!$B$28*'Service inputs'!$B$29+I124*'Service inputs'!$B$24*'Service inputs'!$B$25+J124*'Service inputs'!$B$26*'Service inputs'!$B$27+K124*'Service inputs'!$B$30*'Service inputs'!$B$31)</x:f>
        <x:v>55.3038695145</x:v>
      </x:c>
      <x:c r="Q124" s="26" t="n">
        <x:f>O124/SUM($O$5:$O$320)*SUMIF(Workload!$A$5:$A$40,"Ecology",Workload!$G$5:$G$40)</x:f>
        <x:v>0</x:v>
      </x:c>
      <x:c r="R124" s="27" t="n">
        <x:f>P124/SUMIF(Workload!$A$5:$A$40,"Grounds",Workload!$G$5:$G$40)*Staffing!$J$5+Q124/SUMIF(Workload!$A$5:$A$40,"Ecology",Workload!$G$5:$G$40)*Staffing!$J$7</x:f>
        <x:v>5620.745591455764</x:v>
      </x:c>
      <x:c r="S124" s="7" t="n">
        <x:v>1</x:v>
      </x:c>
      <x:c r="T124" s="23" t="n">
        <x:v>1</x:v>
      </x:c>
      <x:c r="U124" s="7" t="n">
        <x:v>0</x:v>
      </x:c>
      <x:c r="V124" s="7" t="n">
        <x:v>0</x:v>
      </x:c>
      <x:c r="W124" s="7" t="str">
        <x:v>https://parks.portlandciviclab.org/parks/helensview-community-garden-1459</x:v>
      </x:c>
    </x:row>
    <x:row r="125" ht="23" customHeight="1">
      <x:c r="A125" s="8" t="str">
        <x:v>179</x:v>
      </x:c>
      <x:c r="B125" s="8" t="str">
        <x:v>Heritage Tree Park</x:v>
      </x:c>
      <x:c r="C125" s="8" t="str">
        <x:v>uncertain</x:v>
      </x:c>
      <x:c r="D125" s="8" t="str">
        <x:v>District 4</x:v>
      </x:c>
      <x:c r="E125" s="18" t="n">
        <x:v>0.09182782</x:v>
      </x:c>
      <x:c r="F125" s="8" t="n">
        <x:v>1</x:v>
      </x:c>
      <x:c r="G125" s="8" t="n">
        <x:v>0</x:v>
      </x:c>
      <x:c r="H125" s="8" t="n">
        <x:v>0</x:v>
      </x:c>
      <x:c r="I125" s="8" t="n">
        <x:v>0</x:v>
      </x:c>
      <x:c r="J125" s="8" t="n">
        <x:v>0</x:v>
      </x:c>
      <x:c r="K125" s="8" t="n">
        <x:v>0</x:v>
      </x:c>
      <x:c r="L125" s="24" t="n">
        <x:f>F125*'Service inputs'!B74*'Service inputs'!C74</x:f>
        <x:v>52</x:v>
      </x:c>
      <x:c r="M125" s="24" t="n">
        <x:f>F125*E125*'Service inputs'!D74</x:f>
        <x:v>0.009182782</x:v>
      </x:c>
      <x:c r="N125" s="24" t="n">
        <x:f>F125*E125*'Service inputs'!E74</x:f>
        <x:v>0.0018365564000000002</x:v>
      </x:c>
      <x:c r="O125" s="24" t="n">
        <x:f>F125*E125*'Service inputs'!F74</x:f>
        <x:v>0.04591391</x:v>
      </x:c>
      <x:c r="P125" s="24" t="n">
        <x:f>L125+F125*G125*'Service inputs'!$B$17*'Service inputs'!$B$18*'Service inputs'!$B$19+M125*('Service inputs'!$B$20*'Service inputs'!$B$21+'Service inputs'!$B$22)+N125*'Service inputs'!$B$23+F125*(H125*'Service inputs'!$B$28*'Service inputs'!$B$29+I125*'Service inputs'!$B$24*'Service inputs'!$B$25+J125*'Service inputs'!$B$26*'Service inputs'!$B$27+K125*'Service inputs'!$B$30*'Service inputs'!$B$31)</x:f>
        <x:v>52.431590754</x:v>
      </x:c>
      <x:c r="Q125" s="24" t="n">
        <x:f>O125/SUM($O$5:$O$320)*SUMIF(Workload!$A$5:$A$40,"Ecology",Workload!$G$5:$G$40)</x:f>
        <x:v>0.48199085478150877</x:v>
      </x:c>
      <x:c r="R125" s="25" t="n">
        <x:f>P125/SUMIF(Workload!$A$5:$A$40,"Grounds",Workload!$G$5:$G$40)*Staffing!$J$5+Q125/SUMIF(Workload!$A$5:$A$40,"Ecology",Workload!$G$5:$G$40)*Staffing!$J$7</x:f>
        <x:v>5384.607518632008</x:v>
      </x:c>
      <x:c r="S125" s="8" t="n">
        <x:v>1</x:v>
      </x:c>
      <x:c r="T125" s="22" t="n">
        <x:v>0</x:v>
      </x:c>
      <x:c r="U125" s="8" t="n">
        <x:v>0</x:v>
      </x:c>
      <x:c r="V125" s="8" t="n">
        <x:v>0</x:v>
      </x:c>
      <x:c r="W125" s="8" t="str">
        <x:v>https://parks.portlandciviclab.org/parks/heritage-tree-park-179</x:v>
      </x:c>
    </x:row>
    <x:row r="126" ht="23" customHeight="1">
      <x:c r="A126" s="7" t="str">
        <x:v>180</x:v>
      </x:c>
      <x:c r="B126" s="7" t="str">
        <x:v>Heron Lakes Golf Course</x:v>
      </x:c>
      <x:c r="C126" s="7" t="str">
        <x:v>golf-raceway</x:v>
      </x:c>
      <x:c r="D126" s="7" t="str">
        <x:v>District 2</x:v>
      </x:c>
      <x:c r="E126" s="19" t="n">
        <x:v>340.77409266</x:v>
      </x:c>
      <x:c r="F126" s="7" t="n">
        <x:v>0</x:v>
      </x:c>
      <x:c r="G126" s="7" t="n">
        <x:v>3</x:v>
      </x:c>
      <x:c r="H126" s="7" t="n">
        <x:v>0</x:v>
      </x:c>
      <x:c r="I126" s="7" t="n">
        <x:v>0</x:v>
      </x:c>
      <x:c r="J126" s="7" t="n">
        <x:v>0</x:v>
      </x:c>
      <x:c r="K126" s="7" t="n">
        <x:v>0</x:v>
      </x:c>
      <x:c r="L126" s="26" t="n">
        <x:f>F126*'Service inputs'!B72*'Service inputs'!C72</x:f>
        <x:v>0</x:v>
      </x:c>
      <x:c r="M126" s="26" t="n">
        <x:f>F126*E126*'Service inputs'!D72</x:f>
        <x:v>0</x:v>
      </x:c>
      <x:c r="N126" s="26" t="n">
        <x:f>F126*E126*'Service inputs'!E72</x:f>
        <x:v>0</x:v>
      </x:c>
      <x:c r="O126" s="26" t="n">
        <x:f>F126*E126*'Service inputs'!F72</x:f>
        <x:v>0</x:v>
      </x:c>
      <x:c r="P126" s="26" t="n">
        <x:f>L126+F126*G126*'Service inputs'!$B$17*'Service inputs'!$B$18*'Service inputs'!$B$19+M126*('Service inputs'!$B$20*'Service inputs'!$B$21+'Service inputs'!$B$22)+N126*'Service inputs'!$B$23+F126*(H126*'Service inputs'!$B$28*'Service inputs'!$B$29+I126*'Service inputs'!$B$24*'Service inputs'!$B$25+J126*'Service inputs'!$B$26*'Service inputs'!$B$27+K126*'Service inputs'!$B$30*'Service inputs'!$B$31)</x:f>
        <x:v>0</x:v>
      </x:c>
      <x:c r="Q126" s="26" t="n">
        <x:f>O126/SUM($O$5:$O$320)*SUMIF(Workload!$A$5:$A$40,"Ecology",Workload!$G$5:$G$40)</x:f>
        <x:v>0</x:v>
      </x:c>
      <x:c r="R126" s="27" t="n">
        <x:f>P126/SUMIF(Workload!$A$5:$A$40,"Grounds",Workload!$G$5:$G$40)*Staffing!$J$5+Q126/SUMIF(Workload!$A$5:$A$40,"Ecology",Workload!$G$5:$G$40)*Staffing!$J$7</x:f>
        <x:v>0</x:v>
      </x:c>
      <x:c r="S126" s="7" t="n">
        <x:v>21</x:v>
      </x:c>
      <x:c r="T126" s="23" t="n">
        <x:v>0.6666666666666666</x:v>
      </x:c>
      <x:c r="U126" s="7" t="n">
        <x:v>0</x:v>
      </x:c>
      <x:c r="V126" s="7" t="n">
        <x:v>1</x:v>
      </x:c>
      <x:c r="W126" s="7" t="str">
        <x:v>https://parks.portlandciviclab.org/parks/heron-lakes-golf-course-180</x:v>
      </x:c>
    </x:row>
    <x:row r="127" ht="23" customHeight="1">
      <x:c r="A127" s="8" t="str">
        <x:v>183</x:v>
      </x:c>
      <x:c r="B127" s="8" t="str">
        <x:v>Hillsdale Park</x:v>
      </x:c>
      <x:c r="C127" s="8" t="str">
        <x:v>developed-park</x:v>
      </x:c>
      <x:c r="D127" s="8" t="str">
        <x:v>District 4</x:v>
      </x:c>
      <x:c r="E127" s="18" t="n">
        <x:v>5.17257219</x:v>
      </x:c>
      <x:c r="F127" s="8" t="n">
        <x:v>1</x:v>
      </x:c>
      <x:c r="G127" s="8" t="n">
        <x:v>0</x:v>
      </x:c>
      <x:c r="H127" s="8" t="n">
        <x:v>0</x:v>
      </x:c>
      <x:c r="I127" s="8" t="n">
        <x:v>0</x:v>
      </x:c>
      <x:c r="J127" s="8" t="n">
        <x:v>0</x:v>
      </x:c>
      <x:c r="K127" s="8" t="n">
        <x:v>0</x:v>
      </x:c>
      <x:c r="L127" s="24" t="n">
        <x:f>F127*'Service inputs'!B65*'Service inputs'!C65</x:f>
        <x:v>547.5</x:v>
      </x:c>
      <x:c r="M127" s="24" t="n">
        <x:f>F127*E127*'Service inputs'!D65</x:f>
        <x:v>2.8449147045000003</x:v>
      </x:c>
      <x:c r="N127" s="24" t="n">
        <x:f>F127*E127*'Service inputs'!E65</x:f>
        <x:v>0.25862860950000005</x:v>
      </x:c>
      <x:c r="O127" s="24" t="n">
        <x:f>F127*E127*'Service inputs'!F65</x:f>
        <x:v>1.2931430475</x:v>
      </x:c>
      <x:c r="P127" s="24" t="n">
        <x:f>L127+F127*G127*'Service inputs'!$B$17*'Service inputs'!$B$18*'Service inputs'!$B$19+M127*('Service inputs'!$B$20*'Service inputs'!$B$21+'Service inputs'!$B$22)+N127*'Service inputs'!$B$23+F127*(H127*'Service inputs'!$B$28*'Service inputs'!$B$29+I127*'Service inputs'!$B$24*'Service inputs'!$B$25+J127*'Service inputs'!$B$26*'Service inputs'!$B$27+K127*'Service inputs'!$B$30*'Service inputs'!$B$31)</x:f>
        <x:v>643.9684713435</x:v>
      </x:c>
      <x:c r="Q127" s="24" t="n">
        <x:f>O127/SUM($O$5:$O$320)*SUMIF(Workload!$A$5:$A$40,"Ecology",Workload!$G$5:$G$40)</x:f>
        <x:v>13.575039085525283</x:v>
      </x:c>
      <x:c r="R127" s="25" t="n">
        <x:f>P127/SUMIF(Workload!$A$5:$A$40,"Grounds",Workload!$G$5:$G$40)*Staffing!$J$5+Q127/SUMIF(Workload!$A$5:$A$40,"Ecology",Workload!$G$5:$G$40)*Staffing!$J$7</x:f>
        <x:v>67020.09249265402</x:v>
      </x:c>
      <x:c r="S127" s="8" t="n">
        <x:v>18</x:v>
      </x:c>
      <x:c r="T127" s="22" t="n">
        <x:v>0.1111111111111111</x:v>
      </x:c>
      <x:c r="U127" s="8" t="n">
        <x:v>0</x:v>
      </x:c>
      <x:c r="V127" s="8" t="n">
        <x:v>0</x:v>
      </x:c>
      <x:c r="W127" s="8" t="str">
        <x:v>https://parks.portlandciviclab.org/parks/hillsdale-park-183</x:v>
      </x:c>
    </x:row>
    <x:row r="128" ht="23" customHeight="1">
      <x:c r="A128" s="7" t="str">
        <x:v>185</x:v>
      </x:c>
      <x:c r="B128" s="7" t="str">
        <x:v>Hillside Park</x:v>
      </x:c>
      <x:c r="C128" s="7" t="str">
        <x:v>developed-park</x:v>
      </x:c>
      <x:c r="D128" s="7" t="str">
        <x:v>District 4</x:v>
      </x:c>
      <x:c r="E128" s="19" t="n">
        <x:v>3.41395834</x:v>
      </x:c>
      <x:c r="F128" s="7" t="n">
        <x:v>1</x:v>
      </x:c>
      <x:c r="G128" s="7" t="n">
        <x:v>0</x:v>
      </x:c>
      <x:c r="H128" s="7" t="n">
        <x:v>1</x:v>
      </x:c>
      <x:c r="I128" s="7" t="n">
        <x:v>1</x:v>
      </x:c>
      <x:c r="J128" s="7" t="n">
        <x:v>6</x:v>
      </x:c>
      <x:c r="K128" s="7" t="n">
        <x:v>0</x:v>
      </x:c>
      <x:c r="L128" s="26" t="n">
        <x:f>F128*'Service inputs'!B65*'Service inputs'!C65</x:f>
        <x:v>547.5</x:v>
      </x:c>
      <x:c r="M128" s="26" t="n">
        <x:f>F128*E128*'Service inputs'!D65</x:f>
        <x:v>1.8776770870000004</x:v>
      </x:c>
      <x:c r="N128" s="26" t="n">
        <x:f>F128*E128*'Service inputs'!E65</x:f>
        <x:v>0.17069791700000003</x:v>
      </x:c>
      <x:c r="O128" s="26" t="n">
        <x:f>F128*E128*'Service inputs'!F65</x:f>
        <x:v>0.853489585</x:v>
      </x:c>
      <x:c r="P128" s="26" t="n">
        <x:f>L128+F128*G128*'Service inputs'!$B$17*'Service inputs'!$B$18*'Service inputs'!$B$19+M128*('Service inputs'!$B$20*'Service inputs'!$B$21+'Service inputs'!$B$22)+N128*'Service inputs'!$B$23+F128*(H128*'Service inputs'!$B$28*'Service inputs'!$B$29+I128*'Service inputs'!$B$24*'Service inputs'!$B$25+J128*'Service inputs'!$B$26*'Service inputs'!$B$27+K128*'Service inputs'!$B$30*'Service inputs'!$B$31)</x:f>
        <x:v>863.1703230410001</x:v>
      </x:c>
      <x:c r="Q128" s="26" t="n">
        <x:f>O128/SUM($O$5:$O$320)*SUMIF(Workload!$A$5:$A$40,"Ecology",Workload!$G$5:$G$40)</x:f>
        <x:v>8.959685085005072</x:v>
      </x:c>
      <x:c r="R128" s="27" t="n">
        <x:f>P128/SUMIF(Workload!$A$5:$A$40,"Grounds",Workload!$G$5:$G$40)*Staffing!$J$5+Q128/SUMIF(Workload!$A$5:$A$40,"Ecology",Workload!$G$5:$G$40)*Staffing!$J$7</x:f>
        <x:v>88764.26917306602</x:v>
      </x:c>
      <x:c r="S128" s="7" t="n">
        <x:v>31</x:v>
      </x:c>
      <x:c r="T128" s="23" t="n">
        <x:v>0.0967741935483871</x:v>
      </x:c>
      <x:c r="U128" s="7" t="n">
        <x:v>0</x:v>
      </x:c>
      <x:c r="V128" s="7" t="n">
        <x:v>0</x:v>
      </x:c>
      <x:c r="W128" s="7" t="str">
        <x:v>https://parks.portlandciviclab.org/parks/hillside-park-185</x:v>
      </x:c>
    </x:row>
    <x:row r="129" ht="23" customHeight="1">
      <x:c r="A129" s="8" t="str">
        <x:v>186</x:v>
      </x:c>
      <x:c r="B129" s="8" t="str">
        <x:v>Holladay Park</x:v>
      </x:c>
      <x:c r="C129" s="8" t="str">
        <x:v>developed-park</x:v>
      </x:c>
      <x:c r="D129" s="8" t="str">
        <x:v>District 2</x:v>
      </x:c>
      <x:c r="E129" s="18" t="n">
        <x:v>4.54037326</x:v>
      </x:c>
      <x:c r="F129" s="8" t="n">
        <x:v>1</x:v>
      </x:c>
      <x:c r="G129" s="8" t="n">
        <x:v>0</x:v>
      </x:c>
      <x:c r="H129" s="8" t="n">
        <x:v>0</x:v>
      </x:c>
      <x:c r="I129" s="8" t="n">
        <x:v>0</x:v>
      </x:c>
      <x:c r="J129" s="8" t="n">
        <x:v>0</x:v>
      </x:c>
      <x:c r="K129" s="8" t="n">
        <x:v>1</x:v>
      </x:c>
      <x:c r="L129" s="24" t="n">
        <x:f>F129*'Service inputs'!B65*'Service inputs'!C65</x:f>
        <x:v>547.5</x:v>
      </x:c>
      <x:c r="M129" s="24" t="n">
        <x:f>F129*E129*'Service inputs'!D65</x:f>
        <x:v>2.4972052930000004</x:v>
      </x:c>
      <x:c r="N129" s="24" t="n">
        <x:f>F129*E129*'Service inputs'!E65</x:f>
        <x:v>0.227018663</x:v>
      </x:c>
      <x:c r="O129" s="24" t="n">
        <x:f>F129*E129*'Service inputs'!F65</x:f>
        <x:v>1.135093315</x:v>
      </x:c>
      <x:c r="P129" s="24" t="n">
        <x:f>L129+F129*G129*'Service inputs'!$B$17*'Service inputs'!$B$18*'Service inputs'!$B$19+M129*('Service inputs'!$B$20*'Service inputs'!$B$21+'Service inputs'!$B$22)+N129*'Service inputs'!$B$23+F129*(H129*'Service inputs'!$B$28*'Service inputs'!$B$29+I129*'Service inputs'!$B$24*'Service inputs'!$B$25+J129*'Service inputs'!$B$26*'Service inputs'!$B$27+K129*'Service inputs'!$B$30*'Service inputs'!$B$31)</x:f>
        <x:v>680.177961299</x:v>
      </x:c>
      <x:c r="Q129" s="24" t="n">
        <x:f>O129/SUM($O$5:$O$320)*SUMIF(Workload!$A$5:$A$40,"Ecology",Workload!$G$5:$G$40)</x:f>
        <x:v>11.915879025629192</x:v>
      </x:c>
      <x:c r="R129" s="25" t="n">
        <x:f>P129/SUMIF(Workload!$A$5:$A$40,"Grounds",Workload!$G$5:$G$40)*Staffing!$J$5+Q129/SUMIF(Workload!$A$5:$A$40,"Ecology",Workload!$G$5:$G$40)*Staffing!$J$7</x:f>
        <x:v>70508.18151435038</x:v>
      </x:c>
      <x:c r="S129" s="8" t="n">
        <x:v>122</x:v>
      </x:c>
      <x:c r="T129" s="22" t="n">
        <x:v>0.01639344262295082</x:v>
      </x:c>
      <x:c r="U129" s="8" t="n">
        <x:v>2</x:v>
      </x:c>
      <x:c r="V129" s="8" t="n">
        <x:v>0</x:v>
      </x:c>
      <x:c r="W129" s="8" t="str">
        <x:v>https://parks.portlandciviclab.org/parks/holladay-park-186</x:v>
      </x:c>
    </x:row>
    <x:row r="130" ht="23" customHeight="1">
      <x:c r="A130" s="7" t="str">
        <x:v>1239</x:v>
      </x:c>
      <x:c r="B130" s="7" t="str">
        <x:v>Holly Farm Park</x:v>
      </x:c>
      <x:c r="C130" s="7" t="str">
        <x:v>developed-park</x:v>
      </x:c>
      <x:c r="D130" s="7" t="str">
        <x:v>District 4</x:v>
      </x:c>
      <x:c r="E130" s="19" t="n">
        <x:v>1.70217091</x:v>
      </x:c>
      <x:c r="F130" s="7" t="n">
        <x:v>1</x:v>
      </x:c>
      <x:c r="G130" s="7" t="n">
        <x:v>0</x:v>
      </x:c>
      <x:c r="H130" s="7" t="n">
        <x:v>1</x:v>
      </x:c>
      <x:c r="I130" s="7" t="n">
        <x:v>0</x:v>
      </x:c>
      <x:c r="J130" s="7" t="n">
        <x:v>0</x:v>
      </x:c>
      <x:c r="K130" s="7" t="n">
        <x:v>0</x:v>
      </x:c>
      <x:c r="L130" s="26" t="n">
        <x:f>F130*'Service inputs'!B65*'Service inputs'!C65</x:f>
        <x:v>547.5</x:v>
      </x:c>
      <x:c r="M130" s="26" t="n">
        <x:f>F130*E130*'Service inputs'!D65</x:f>
        <x:v>0.9361940005</x:v>
      </x:c>
      <x:c r="N130" s="26" t="n">
        <x:f>F130*E130*'Service inputs'!E65</x:f>
        <x:v>0.08510854550000001</x:v>
      </x:c>
      <x:c r="O130" s="26" t="n">
        <x:f>F130*E130*'Service inputs'!F65</x:f>
        <x:v>0.4255427275</x:v>
      </x:c>
      <x:c r="P130" s="26" t="n">
        <x:f>L130+F130*G130*'Service inputs'!$B$17*'Service inputs'!$B$18*'Service inputs'!$B$19+M130*('Service inputs'!$B$20*'Service inputs'!$B$21+'Service inputs'!$B$22)+N130*'Service inputs'!$B$23+F130*(H130*'Service inputs'!$B$28*'Service inputs'!$B$29+I130*'Service inputs'!$B$24*'Service inputs'!$B$25+J130*'Service inputs'!$B$26*'Service inputs'!$B$27+K130*'Service inputs'!$B$30*'Service inputs'!$B$31)</x:f>
        <x:v>618.2454874715</x:v>
      </x:c>
      <x:c r="Q130" s="26" t="n">
        <x:f>O130/SUM($O$5:$O$320)*SUMIF(Workload!$A$5:$A$40,"Ecology",Workload!$G$5:$G$40)</x:f>
        <x:v>4.467223614233239</x:v>
      </x:c>
      <x:c r="R130" s="27" t="n">
        <x:f>P130/SUMIF(Workload!$A$5:$A$40,"Grounds",Workload!$G$5:$G$40)*Staffing!$J$5+Q130/SUMIF(Workload!$A$5:$A$40,"Ecology",Workload!$G$5:$G$40)*Staffing!$J$7</x:f>
        <x:v>63351.68311025976</x:v>
      </x:c>
      <x:c r="S130" s="7" t="n">
        <x:v>36</x:v>
      </x:c>
      <x:c r="T130" s="23" t="n">
        <x:v>0</x:v>
      </x:c>
      <x:c r="U130" s="7" t="n">
        <x:v>0</x:v>
      </x:c>
      <x:c r="V130" s="7" t="n">
        <x:v>0</x:v>
      </x:c>
      <x:c r="W130" s="7" t="str">
        <x:v>https://parks.portlandciviclab.org/parks/holly-farm-park-1239</x:v>
      </x:c>
    </x:row>
    <x:row r="131" ht="23" customHeight="1">
      <x:c r="A131" s="8" t="str">
        <x:v>189</x:v>
      </x:c>
      <x:c r="B131" s="8" t="str">
        <x:v>Hoyt Arboretum</x:v>
      </x:c>
      <x:c r="C131" s="8" t="str">
        <x:v>garden</x:v>
      </x:c>
      <x:c r="D131" s="8" t="str">
        <x:v>District 4</x:v>
      </x:c>
      <x:c r="E131" s="18" t="n">
        <x:v>157.16564462</x:v>
      </x:c>
      <x:c r="F131" s="8" t="n">
        <x:v>1</x:v>
      </x:c>
      <x:c r="G131" s="8" t="n">
        <x:v>0</x:v>
      </x:c>
      <x:c r="H131" s="8" t="n">
        <x:v>0</x:v>
      </x:c>
      <x:c r="I131" s="8" t="n">
        <x:v>0</x:v>
      </x:c>
      <x:c r="J131" s="8" t="n">
        <x:v>0</x:v>
      </x:c>
      <x:c r="K131" s="8" t="n">
        <x:v>0</x:v>
      </x:c>
      <x:c r="L131" s="24" t="n">
        <x:f>F131*'Service inputs'!B71*'Service inputs'!C71</x:f>
        <x:v>547.5</x:v>
      </x:c>
      <x:c r="M131" s="24" t="n">
        <x:f>F131*E131*'Service inputs'!D71</x:f>
        <x:v>39.291411155</x:v>
      </x:c>
      <x:c r="N131" s="24" t="n">
        <x:f>F131*E131*'Service inputs'!E71</x:f>
        <x:v>62.866257848000004</x:v>
      </x:c>
      <x:c r="O131" s="24" t="n">
        <x:f>F131*E131*'Service inputs'!F71</x:f>
        <x:v>39.291411155</x:v>
      </x:c>
      <x:c r="P131" s="24" t="n">
        <x:f>L131+F131*G131*'Service inputs'!$B$17*'Service inputs'!$B$18*'Service inputs'!$B$19+M131*('Service inputs'!$B$20*'Service inputs'!$B$21+'Service inputs'!$B$22)+N131*'Service inputs'!$B$23+F131*(H131*'Service inputs'!$B$28*'Service inputs'!$B$29+I131*'Service inputs'!$B$24*'Service inputs'!$B$25+J131*'Service inputs'!$B$26*'Service inputs'!$B$27+K131*'Service inputs'!$B$30*'Service inputs'!$B$31)</x:f>
        <x:v>8995.153398325001</x:v>
      </x:c>
      <x:c r="Q131" s="24" t="n">
        <x:f>O131/SUM($O$5:$O$320)*SUMIF(Workload!$A$5:$A$40,"Ecology",Workload!$G$5:$G$40)</x:f>
        <x:v>412.46979070547803</x:v>
      </x:c>
      <x:c r="R131" s="25" t="n">
        <x:f>P131/SUMIF(Workload!$A$5:$A$40,"Grounds",Workload!$G$5:$G$40)*Staffing!$J$5+Q131/SUMIF(Workload!$A$5:$A$40,"Ecology",Workload!$G$5:$G$40)*Staffing!$J$7</x:f>
        <x:v>961948.8894970098</x:v>
      </x:c>
      <x:c r="S131" s="8" t="n">
        <x:v>3</x:v>
      </x:c>
      <x:c r="T131" s="22" t="n">
        <x:v>1</x:v>
      </x:c>
      <x:c r="U131" s="8" t="n">
        <x:v>0</x:v>
      </x:c>
      <x:c r="V131" s="8" t="n">
        <x:v>1</x:v>
      </x:c>
      <x:c r="W131" s="8" t="str">
        <x:v>https://parks.portlandciviclab.org/parks/hoyt-arboretum-189</x:v>
      </x:c>
    </x:row>
    <x:row r="132" ht="23" customHeight="1">
      <x:c r="A132" s="7" t="str">
        <x:v>863</x:v>
      </x:c>
      <x:c r="B132" s="7" t="str">
        <x:v>Ida B Wells-Barnett Outdoor Pool</x:v>
      </x:c>
      <x:c r="C132" s="7" t="str">
        <x:v>facility-site</x:v>
      </x:c>
      <x:c r="D132" s="7" t="str">
        <x:v>District 4</x:v>
      </x:c>
      <x:c r="E132" s="19" t="n">
        <x:v>0.5187473</x:v>
      </x:c>
      <x:c r="F132" s="7" t="n">
        <x:v>1</x:v>
      </x:c>
      <x:c r="G132" s="7" t="n">
        <x:v>0</x:v>
      </x:c>
      <x:c r="H132" s="7" t="n">
        <x:v>0</x:v>
      </x:c>
      <x:c r="I132" s="7" t="n">
        <x:v>0</x:v>
      </x:c>
      <x:c r="J132" s="7" t="n">
        <x:v>0</x:v>
      </x:c>
      <x:c r="K132" s="7" t="n">
        <x:v>0</x:v>
      </x:c>
      <x:c r="L132" s="26" t="n">
        <x:f>F132*'Service inputs'!B69*'Service inputs'!C69</x:f>
        <x:v>260</x:v>
      </x:c>
      <x:c r="M132" s="26" t="n">
        <x:f>F132*E132*'Service inputs'!D69</x:f>
        <x:v>0.05187473000000001</x:v>
      </x:c>
      <x:c r="N132" s="26" t="n">
        <x:f>F132*E132*'Service inputs'!E69</x:f>
        <x:v>0.05187473000000001</x:v>
      </x:c>
      <x:c r="O132" s="26" t="n">
        <x:f>F132*E132*'Service inputs'!F69</x:f>
        <x:v>0</x:v>
      </x:c>
      <x:c r="P132" s="26" t="n">
        <x:f>L132+F132*G132*'Service inputs'!$B$17*'Service inputs'!$B$18*'Service inputs'!$B$19+M132*('Service inputs'!$B$20*'Service inputs'!$B$21+'Service inputs'!$B$22)+N132*'Service inputs'!$B$23+F132*(H132*'Service inputs'!$B$28*'Service inputs'!$B$29+I132*'Service inputs'!$B$24*'Service inputs'!$B$25+J132*'Service inputs'!$B$26*'Service inputs'!$B$27+K132*'Service inputs'!$B$30*'Service inputs'!$B$31)</x:f>
        <x:v>267.41808639000004</x:v>
      </x:c>
      <x:c r="Q132" s="26" t="n">
        <x:f>O132/SUM($O$5:$O$320)*SUMIF(Workload!$A$5:$A$40,"Ecology",Workload!$G$5:$G$40)</x:f>
        <x:v>0</x:v>
      </x:c>
      <x:c r="R132" s="27" t="n">
        <x:f>P132/SUMIF(Workload!$A$5:$A$40,"Grounds",Workload!$G$5:$G$40)*Staffing!$J$5+Q132/SUMIF(Workload!$A$5:$A$40,"Ecology",Workload!$G$5:$G$40)*Staffing!$J$7</x:f>
        <x:v>27178.731675512106</x:v>
      </x:c>
      <x:c r="S132" s="7" t="n">
        <x:v>2</x:v>
      </x:c>
      <x:c r="T132" s="23" t="n">
        <x:v>0</x:v>
      </x:c>
      <x:c r="U132" s="7" t="n">
        <x:v>0</x:v>
      </x:c>
      <x:c r="V132" s="7" t="n">
        <x:v>0</x:v>
      </x:c>
      <x:c r="W132" s="7" t="str">
        <x:v>https://parks.portlandciviclab.org/parks/ida-b-wells-barnett-outdoor-pool-863</x:v>
      </x:c>
    </x:row>
    <x:row r="133" ht="23" customHeight="1">
      <x:c r="A133" s="8" t="str">
        <x:v>1458</x:v>
      </x:c>
      <x:c r="B133" s="8" t="str">
        <x:v>Indian Creek Natural Area</x:v>
      </x:c>
      <x:c r="C133" s="8" t="str">
        <x:v>natural-area</x:v>
      </x:c>
      <x:c r="D133" s="8" t="str">
        <x:v>District 1</x:v>
      </x:c>
      <x:c r="E133" s="18" t="n">
        <x:v>6.91036329</x:v>
      </x:c>
      <x:c r="F133" s="8" t="n">
        <x:v>1</x:v>
      </x:c>
      <x:c r="G133" s="8" t="n">
        <x:v>0</x:v>
      </x:c>
      <x:c r="H133" s="8" t="n">
        <x:v>0</x:v>
      </x:c>
      <x:c r="I133" s="8" t="n">
        <x:v>0</x:v>
      </x:c>
      <x:c r="J133" s="8" t="n">
        <x:v>0</x:v>
      </x:c>
      <x:c r="K133" s="8" t="n">
        <x:v>0</x:v>
      </x:c>
      <x:c r="L133" s="24" t="n">
        <x:f>F133*'Service inputs'!B66*'Service inputs'!C66</x:f>
        <x:v>78</x:v>
      </x:c>
      <x:c r="M133" s="24" t="n">
        <x:f>F133*E133*'Service inputs'!D66</x:f>
        <x:v>0.03455181645</x:v>
      </x:c>
      <x:c r="N133" s="24" t="n">
        <x:f>F133*E133*'Service inputs'!E66</x:f>
        <x:v>0</x:v>
      </x:c>
      <x:c r="O133" s="24" t="n">
        <x:f>F133*E133*'Service inputs'!F66</x:f>
        <x:v>6.8412596571</x:v>
      </x:c>
      <x:c r="P133" s="24" t="n">
        <x:f>L133+F133*G133*'Service inputs'!$B$17*'Service inputs'!$B$18*'Service inputs'!$B$19+M133*('Service inputs'!$B$20*'Service inputs'!$B$21+'Service inputs'!$B$22)+N133*'Service inputs'!$B$23+F133*(H133*'Service inputs'!$B$28*'Service inputs'!$B$29+I133*'Service inputs'!$B$24*'Service inputs'!$B$25+J133*'Service inputs'!$B$26*'Service inputs'!$B$27+K133*'Service inputs'!$B$30*'Service inputs'!$B$31)</x:f>
        <x:v>78.79469177835</x:v>
      </x:c>
      <x:c r="Q133" s="24" t="n">
        <x:f>O133/SUM($O$5:$O$320)*SUMIF(Workload!$A$5:$A$40,"Ecology",Workload!$G$5:$G$40)</x:f>
        <x:v>71.81755136750236</x:v>
      </x:c>
      <x:c r="R133" s="25" t="n">
        <x:f>P133/SUMIF(Workload!$A$5:$A$40,"Grounds",Workload!$G$5:$G$40)*Staffing!$J$5+Q133/SUMIF(Workload!$A$5:$A$40,"Ecology",Workload!$G$5:$G$40)*Staffing!$J$7</x:f>
        <x:v>16319.936154973955</x:v>
      </x:c>
      <x:c r="S133" s="8" t="n">
        <x:v>0</x:v>
      </x:c>
      <x:c r="T133" s="22" t="n">
        <x:v>0</x:v>
      </x:c>
      <x:c r="U133" s="8" t="n">
        <x:v>0</x:v>
      </x:c>
      <x:c r="V133" s="8" t="n">
        <x:v>0</x:v>
      </x:c>
      <x:c r="W133" s="8" t="str">
        <x:v>https://parks.portlandciviclab.org/parks/indian-creek-natural-area-1458</x:v>
      </x:c>
    </x:row>
    <x:row r="134" ht="23" customHeight="1">
      <x:c r="A134" s="7" t="str">
        <x:v>191</x:v>
      </x:c>
      <x:c r="B134" s="7" t="str">
        <x:v>Interstate Firehouse Cultural Center</x:v>
      </x:c>
      <x:c r="C134" s="7" t="str">
        <x:v>facility-site</x:v>
      </x:c>
      <x:c r="D134" s="7" t="str">
        <x:v>District 2</x:v>
      </x:c>
      <x:c r="E134" s="19" t="n">
        <x:v>0.07557971</x:v>
      </x:c>
      <x:c r="F134" s="7" t="n">
        <x:v>1</x:v>
      </x:c>
      <x:c r="G134" s="7" t="n">
        <x:v>0</x:v>
      </x:c>
      <x:c r="H134" s="7" t="n">
        <x:v>0</x:v>
      </x:c>
      <x:c r="I134" s="7" t="n">
        <x:v>0</x:v>
      </x:c>
      <x:c r="J134" s="7" t="n">
        <x:v>0</x:v>
      </x:c>
      <x:c r="K134" s="7" t="n">
        <x:v>0</x:v>
      </x:c>
      <x:c r="L134" s="26" t="n">
        <x:f>F134*'Service inputs'!B69*'Service inputs'!C69</x:f>
        <x:v>260</x:v>
      </x:c>
      <x:c r="M134" s="26" t="n">
        <x:f>F134*E134*'Service inputs'!D69</x:f>
        <x:v>0.007557971</x:v>
      </x:c>
      <x:c r="N134" s="26" t="n">
        <x:f>F134*E134*'Service inputs'!E69</x:f>
        <x:v>0.007557971</x:v>
      </x:c>
      <x:c r="O134" s="26" t="n">
        <x:f>F134*E134*'Service inputs'!F69</x:f>
        <x:v>0</x:v>
      </x:c>
      <x:c r="P134" s="26" t="n">
        <x:f>L134+F134*G134*'Service inputs'!$B$17*'Service inputs'!$B$18*'Service inputs'!$B$19+M134*('Service inputs'!$B$20*'Service inputs'!$B$21+'Service inputs'!$B$22)+N134*'Service inputs'!$B$23+F134*(H134*'Service inputs'!$B$28*'Service inputs'!$B$29+I134*'Service inputs'!$B$24*'Service inputs'!$B$25+J134*'Service inputs'!$B$26*'Service inputs'!$B$27+K134*'Service inputs'!$B$30*'Service inputs'!$B$31)</x:f>
        <x:v>261.080789853</x:v>
      </x:c>
      <x:c r="Q134" s="26" t="n">
        <x:f>O134/SUM($O$5:$O$320)*SUMIF(Workload!$A$5:$A$40,"Ecology",Workload!$G$5:$G$40)</x:f>
        <x:v>0</x:v>
      </x:c>
      <x:c r="R134" s="27" t="n">
        <x:f>P134/SUMIF(Workload!$A$5:$A$40,"Grounds",Workload!$G$5:$G$40)*Staffing!$J$5+Q134/SUMIF(Workload!$A$5:$A$40,"Ecology",Workload!$G$5:$G$40)*Staffing!$J$7</x:f>
        <x:v>26534.64778256223</x:v>
      </x:c>
      <x:c r="S134" s="7" t="n">
        <x:v>0</x:v>
      </x:c>
      <x:c r="T134" s="23" t="n">
        <x:v>0</x:v>
      </x:c>
      <x:c r="U134" s="7" t="n">
        <x:v>0</x:v>
      </x:c>
      <x:c r="V134" s="7" t="n">
        <x:v>1</x:v>
      </x:c>
      <x:c r="W134" s="7" t="str">
        <x:v>https://parks.portlandciviclab.org/parks/interstate-firehouse-cultural-center-191</x:v>
      </x:c>
    </x:row>
    <x:row r="135" ht="23" customHeight="1">
      <x:c r="A135" s="8" t="str">
        <x:v>194</x:v>
      </x:c>
      <x:c r="B135" s="8" t="str">
        <x:v>Ira Keller Fountain Park</x:v>
      </x:c>
      <x:c r="C135" s="8" t="str">
        <x:v>plaza-memorial</x:v>
      </x:c>
      <x:c r="D135" s="8" t="str">
        <x:v>District 4</x:v>
      </x:c>
      <x:c r="E135" s="18" t="n">
        <x:v>0.91845932</x:v>
      </x:c>
      <x:c r="F135" s="8" t="n">
        <x:v>1</x:v>
      </x:c>
      <x:c r="G135" s="8" t="n">
        <x:v>0</x:v>
      </x:c>
      <x:c r="H135" s="8" t="n">
        <x:v>0</x:v>
      </x:c>
      <x:c r="I135" s="8" t="n">
        <x:v>0</x:v>
      </x:c>
      <x:c r="J135" s="8" t="n">
        <x:v>0</x:v>
      </x:c>
      <x:c r="K135" s="8" t="n">
        <x:v>0</x:v>
      </x:c>
      <x:c r="L135" s="24" t="n">
        <x:f>F135*'Service inputs'!B68*'Service inputs'!C68</x:f>
        <x:v>730</x:v>
      </x:c>
      <x:c r="M135" s="24" t="n">
        <x:f>F135*E135*'Service inputs'!D68</x:f>
        <x:v>0</x:v>
      </x:c>
      <x:c r="N135" s="24" t="n">
        <x:f>F135*E135*'Service inputs'!E68</x:f>
        <x:v>0.091845932</x:v>
      </x:c>
      <x:c r="O135" s="24" t="n">
        <x:f>F135*E135*'Service inputs'!F68</x:f>
        <x:v>0</x:v>
      </x:c>
      <x:c r="P135" s="24" t="n">
        <x:f>L135+F135*G135*'Service inputs'!$B$17*'Service inputs'!$B$18*'Service inputs'!$B$19+M135*('Service inputs'!$B$20*'Service inputs'!$B$21+'Service inputs'!$B$22)+N135*'Service inputs'!$B$23+F135*(H135*'Service inputs'!$B$28*'Service inputs'!$B$29+I135*'Service inputs'!$B$24*'Service inputs'!$B$25+J135*'Service inputs'!$B$26*'Service inputs'!$B$27+K135*'Service inputs'!$B$30*'Service inputs'!$B$31)</x:f>
        <x:v>741.02151184</x:v>
      </x:c>
      <x:c r="Q135" s="24" t="n">
        <x:f>O135/SUM($O$5:$O$320)*SUMIF(Workload!$A$5:$A$40,"Ecology",Workload!$G$5:$G$40)</x:f>
        <x:v>0</x:v>
      </x:c>
      <x:c r="R135" s="25" t="n">
        <x:f>P135/SUMIF(Workload!$A$5:$A$40,"Grounds",Workload!$G$5:$G$40)*Staffing!$J$5+Q135/SUMIF(Workload!$A$5:$A$40,"Ecology",Workload!$G$5:$G$40)*Staffing!$J$7</x:f>
        <x:v>75312.87471225733</x:v>
      </x:c>
      <x:c r="S135" s="8" t="n">
        <x:v>17</x:v>
      </x:c>
      <x:c r="T135" s="22" t="n">
        <x:v>0</x:v>
      </x:c>
      <x:c r="U135" s="8" t="n">
        <x:v>0</x:v>
      </x:c>
      <x:c r="V135" s="8" t="n">
        <x:v>1</x:v>
      </x:c>
      <x:c r="W135" s="8" t="str">
        <x:v>https://parks.portlandciviclab.org/parks/ira-keller-fountain-park-194</x:v>
      </x:c>
    </x:row>
    <x:row r="136" ht="23" customHeight="1">
      <x:c r="A136" s="7" t="str">
        <x:v>195</x:v>
      </x:c>
      <x:c r="B136" s="7" t="str">
        <x:v>Irving Park</x:v>
      </x:c>
      <x:c r="C136" s="7" t="str">
        <x:v>developed-park</x:v>
      </x:c>
      <x:c r="D136" s="7" t="str">
        <x:v>District 2</x:v>
      </x:c>
      <x:c r="E136" s="19" t="n">
        <x:v>16.08345836</x:v>
      </x:c>
      <x:c r="F136" s="7" t="n">
        <x:v>1</x:v>
      </x:c>
      <x:c r="G136" s="7" t="n">
        <x:v>1</x:v>
      </x:c>
      <x:c r="H136" s="7" t="n">
        <x:v>1</x:v>
      </x:c>
      <x:c r="I136" s="7" t="n">
        <x:v>5</x:v>
      </x:c>
      <x:c r="J136" s="7" t="n">
        <x:v>7</x:v>
      </x:c>
      <x:c r="K136" s="7" t="n">
        <x:v>1</x:v>
      </x:c>
      <x:c r="L136" s="26" t="n">
        <x:f>F136*'Service inputs'!B65*'Service inputs'!C65</x:f>
        <x:v>547.5</x:v>
      </x:c>
      <x:c r="M136" s="26" t="n">
        <x:f>F136*E136*'Service inputs'!D65</x:f>
        <x:v>8.845902098000002</x:v>
      </x:c>
      <x:c r="N136" s="26" t="n">
        <x:f>F136*E136*'Service inputs'!E65</x:f>
        <x:v>0.8041729180000001</x:v>
      </x:c>
      <x:c r="O136" s="26" t="n">
        <x:f>F136*E136*'Service inputs'!F65</x:f>
        <x:v>4.02086459</x:v>
      </x:c>
      <x:c r="P136" s="26" t="n">
        <x:f>L136+F136*G136*'Service inputs'!$B$17*'Service inputs'!$B$18*'Service inputs'!$B$19+M136*('Service inputs'!$B$20*'Service inputs'!$B$21+'Service inputs'!$B$22)+N136*'Service inputs'!$B$23+F136*(H136*'Service inputs'!$B$28*'Service inputs'!$B$29+I136*'Service inputs'!$B$24*'Service inputs'!$B$25+J136*'Service inputs'!$B$26*'Service inputs'!$B$27+K136*'Service inputs'!$B$30*'Service inputs'!$B$31)</x:f>
        <x:v>1907.2064984140002</x:v>
      </x:c>
      <x:c r="Q136" s="26" t="n">
        <x:f>O136/SUM($O$5:$O$320)*SUMIF(Workload!$A$5:$A$40,"Ecology",Workload!$G$5:$G$40)</x:f>
        <x:v>42.20986539144239</x:v>
      </x:c>
      <x:c r="R136" s="27" t="n">
        <x:f>P136/SUMIF(Workload!$A$5:$A$40,"Grounds",Workload!$G$5:$G$40)*Staffing!$J$5+Q136/SUMIF(Workload!$A$5:$A$40,"Ecology",Workload!$G$5:$G$40)*Staffing!$J$7</x:f>
        <x:v>198721.86714991214</x:v>
      </x:c>
      <x:c r="S136" s="7" t="n">
        <x:v>232</x:v>
      </x:c>
      <x:c r="T136" s="23" t="n">
        <x:v>0.20689655172413793</x:v>
      </x:c>
      <x:c r="U136" s="7" t="n">
        <x:v>11</x:v>
      </x:c>
      <x:c r="V136" s="7" t="n">
        <x:v>0</x:v>
      </x:c>
      <x:c r="W136" s="7" t="str">
        <x:v>https://parks.portlandciviclab.org/parks/irving-park-195</x:v>
      </x:c>
    </x:row>
    <x:row r="137" ht="23" customHeight="1">
      <x:c r="A137" s="8" t="str">
        <x:v>197</x:v>
      </x:c>
      <x:c r="B137" s="8" t="str">
        <x:v>Ivon Community Garden</x:v>
      </x:c>
      <x:c r="C137" s="8" t="str">
        <x:v>community-garden</x:v>
      </x:c>
      <x:c r="D137" s="8" t="str">
        <x:v>District 3</x:v>
      </x:c>
      <x:c r="E137" s="18" t="n">
        <x:v>0.19131046</x:v>
      </x:c>
      <x:c r="F137" s="8" t="n">
        <x:v>1</x:v>
      </x:c>
      <x:c r="G137" s="8" t="n">
        <x:v>0</x:v>
      </x:c>
      <x:c r="H137" s="8" t="n">
        <x:v>0</x:v>
      </x:c>
      <x:c r="I137" s="8" t="n">
        <x:v>0</x:v>
      </x:c>
      <x:c r="J137" s="8" t="n">
        <x:v>0</x:v>
      </x:c>
      <x:c r="K137" s="8" t="n">
        <x:v>0</x:v>
      </x:c>
      <x:c r="L137" s="24" t="n">
        <x:f>F137*'Service inputs'!B67*'Service inputs'!C67</x:f>
        <x:v>52</x:v>
      </x:c>
      <x:c r="M137" s="24" t="n">
        <x:f>F137*E137*'Service inputs'!D67</x:f>
        <x:v>0.009565523</x:v>
      </x:c>
      <x:c r="N137" s="24" t="n">
        <x:f>F137*E137*'Service inputs'!E67</x:f>
        <x:v>0.019131046</x:v>
      </x:c>
      <x:c r="O137" s="24" t="n">
        <x:f>F137*E137*'Service inputs'!F67</x:f>
        <x:v>0</x:v>
      </x:c>
      <x:c r="P137" s="24" t="n">
        <x:f>L137+F137*G137*'Service inputs'!$B$17*'Service inputs'!$B$18*'Service inputs'!$B$19+M137*('Service inputs'!$B$20*'Service inputs'!$B$21+'Service inputs'!$B$22)+N137*'Service inputs'!$B$23+F137*(H137*'Service inputs'!$B$28*'Service inputs'!$B$29+I137*'Service inputs'!$B$24*'Service inputs'!$B$25+J137*'Service inputs'!$B$26*'Service inputs'!$B$27+K137*'Service inputs'!$B$30*'Service inputs'!$B$31)</x:f>
        <x:v>54.515732549</x:v>
      </x:c>
      <x:c r="Q137" s="24" t="n">
        <x:f>O137/SUM($O$5:$O$320)*SUMIF(Workload!$A$5:$A$40,"Ecology",Workload!$G$5:$G$40)</x:f>
        <x:v>0</x:v>
      </x:c>
      <x:c r="R137" s="25" t="n">
        <x:f>P137/SUMIF(Workload!$A$5:$A$40,"Grounds",Workload!$G$5:$G$40)*Staffing!$J$5+Q137/SUMIF(Workload!$A$5:$A$40,"Ecology",Workload!$G$5:$G$40)*Staffing!$J$7</x:f>
        <x:v>5540.644191441865</x:v>
      </x:c>
      <x:c r="S137" s="8" t="n">
        <x:v>4</x:v>
      </x:c>
      <x:c r="T137" s="22" t="n">
        <x:v>0</x:v>
      </x:c>
      <x:c r="U137" s="8" t="n">
        <x:v>0</x:v>
      </x:c>
      <x:c r="V137" s="8" t="n">
        <x:v>0</x:v>
      </x:c>
      <x:c r="W137" s="8" t="str">
        <x:v>https://parks.portlandciviclab.org/parks/ivon-community-garden-197</x:v>
      </x:c>
    </x:row>
    <x:row r="138" ht="23" customHeight="1">
      <x:c r="A138" s="7" t="str">
        <x:v>1140</x:v>
      </x:c>
      <x:c r="B138" s="7" t="str">
        <x:v>Jamison Square</x:v>
      </x:c>
      <x:c r="C138" s="7" t="str">
        <x:v>plaza-memorial</x:v>
      </x:c>
      <x:c r="D138" s="7" t="str">
        <x:v>District 4</x:v>
      </x:c>
      <x:c r="E138" s="19" t="n">
        <x:v>0.94114987</x:v>
      </x:c>
      <x:c r="F138" s="7" t="n">
        <x:v>1</x:v>
      </x:c>
      <x:c r="G138" s="7" t="n">
        <x:v>1</x:v>
      </x:c>
      <x:c r="H138" s="7" t="n">
        <x:v>0</x:v>
      </x:c>
      <x:c r="I138" s="7" t="n">
        <x:v>0</x:v>
      </x:c>
      <x:c r="J138" s="7" t="n">
        <x:v>0</x:v>
      </x:c>
      <x:c r="K138" s="7" t="n">
        <x:v>1</x:v>
      </x:c>
      <x:c r="L138" s="26" t="n">
        <x:f>F138*'Service inputs'!B68*'Service inputs'!C68</x:f>
        <x:v>730</x:v>
      </x:c>
      <x:c r="M138" s="26" t="n">
        <x:f>F138*E138*'Service inputs'!D68</x:f>
        <x:v>0</x:v>
      </x:c>
      <x:c r="N138" s="26" t="n">
        <x:f>F138*E138*'Service inputs'!E68</x:f>
        <x:v>0.09411498700000001</x:v>
      </x:c>
      <x:c r="O138" s="26" t="n">
        <x:f>F138*E138*'Service inputs'!F68</x:f>
        <x:v>0</x:v>
      </x:c>
      <x:c r="P138" s="26" t="n">
        <x:f>L138+F138*G138*'Service inputs'!$B$17*'Service inputs'!$B$18*'Service inputs'!$B$19+M138*('Service inputs'!$B$20*'Service inputs'!$B$21+'Service inputs'!$B$22)+N138*'Service inputs'!$B$23+F138*(H138*'Service inputs'!$B$28*'Service inputs'!$B$29+I138*'Service inputs'!$B$24*'Service inputs'!$B$25+J138*'Service inputs'!$B$26*'Service inputs'!$B$27+K138*'Service inputs'!$B$30*'Service inputs'!$B$31)</x:f>
        <x:v>1111.04379844</x:v>
      </x:c>
      <x:c r="Q138" s="26" t="n">
        <x:f>O138/SUM($O$5:$O$320)*SUMIF(Workload!$A$5:$A$40,"Ecology",Workload!$G$5:$G$40)</x:f>
        <x:v>0</x:v>
      </x:c>
      <x:c r="R138" s="27" t="n">
        <x:f>P138/SUMIF(Workload!$A$5:$A$40,"Grounds",Workload!$G$5:$G$40)*Staffing!$J$5+Q138/SUMIF(Workload!$A$5:$A$40,"Ecology",Workload!$G$5:$G$40)*Staffing!$J$7</x:f>
        <x:v>112919.66704714147</x:v>
      </x:c>
      <x:c r="S138" s="7" t="n">
        <x:v>53</x:v>
      </x:c>
      <x:c r="T138" s="23" t="n">
        <x:v>0</x:v>
      </x:c>
      <x:c r="U138" s="7" t="n">
        <x:v>0</x:v>
      </x:c>
      <x:c r="V138" s="7" t="n">
        <x:v>0</x:v>
      </x:c>
      <x:c r="W138" s="7" t="str">
        <x:v>https://parks.portlandciviclab.org/parks/jamison-square-1140</x:v>
      </x:c>
    </x:row>
    <x:row r="139" ht="23" customHeight="1">
      <x:c r="A139" s="8" t="str">
        <x:v>900</x:v>
      </x:c>
      <x:c r="B139" s="8" t="str">
        <x:v>Jefferson Street Property</x:v>
      </x:c>
      <x:c r="C139" s="8" t="str">
        <x:v>natural-area</x:v>
      </x:c>
      <x:c r="D139" s="8" t="str">
        <x:v>District 4</x:v>
      </x:c>
      <x:c r="E139" s="18" t="n">
        <x:v>1.60397239</x:v>
      </x:c>
      <x:c r="F139" s="8" t="n">
        <x:v>1</x:v>
      </x:c>
      <x:c r="G139" s="8" t="n">
        <x:v>0</x:v>
      </x:c>
      <x:c r="H139" s="8" t="n">
        <x:v>0</x:v>
      </x:c>
      <x:c r="I139" s="8" t="n">
        <x:v>0</x:v>
      </x:c>
      <x:c r="J139" s="8" t="n">
        <x:v>0</x:v>
      </x:c>
      <x:c r="K139" s="8" t="n">
        <x:v>0</x:v>
      </x:c>
      <x:c r="L139" s="24" t="n">
        <x:f>F139*'Service inputs'!B66*'Service inputs'!C66</x:f>
        <x:v>78</x:v>
      </x:c>
      <x:c r="M139" s="24" t="n">
        <x:f>F139*E139*'Service inputs'!D66</x:f>
        <x:v>0.00801986195</x:v>
      </x:c>
      <x:c r="N139" s="24" t="n">
        <x:f>F139*E139*'Service inputs'!E66</x:f>
        <x:v>0</x:v>
      </x:c>
      <x:c r="O139" s="24" t="n">
        <x:f>F139*E139*'Service inputs'!F66</x:f>
        <x:v>1.5879326661</x:v>
      </x:c>
      <x:c r="P139" s="24" t="n">
        <x:f>L139+F139*G139*'Service inputs'!$B$17*'Service inputs'!$B$18*'Service inputs'!$B$19+M139*('Service inputs'!$B$20*'Service inputs'!$B$21+'Service inputs'!$B$22)+N139*'Service inputs'!$B$23+F139*(H139*'Service inputs'!$B$28*'Service inputs'!$B$29+I139*'Service inputs'!$B$24*'Service inputs'!$B$25+J139*'Service inputs'!$B$26*'Service inputs'!$B$27+K139*'Service inputs'!$B$30*'Service inputs'!$B$31)</x:f>
        <x:v>78.18445682485</x:v>
      </x:c>
      <x:c r="Q139" s="24" t="n">
        <x:f>O139/SUM($O$5:$O$320)*SUMIF(Workload!$A$5:$A$40,"Ecology",Workload!$G$5:$G$40)</x:f>
        <x:v>16.66965464429013</x:v>
      </x:c>
      <x:c r="R139" s="25" t="n">
        <x:f>P139/SUMIF(Workload!$A$5:$A$40,"Grounds",Workload!$G$5:$G$40)*Staffing!$J$5+Q139/SUMIF(Workload!$A$5:$A$40,"Ecology",Workload!$G$5:$G$40)*Staffing!$J$7</x:f>
        <x:v>9875.432635435007</x:v>
      </x:c>
      <x:c r="S139" s="8" t="n">
        <x:v>0</x:v>
      </x:c>
      <x:c r="T139" s="22" t="n">
        <x:v>0</x:v>
      </x:c>
      <x:c r="U139" s="8" t="n">
        <x:v>0</x:v>
      </x:c>
      <x:c r="V139" s="8" t="n">
        <x:v>0</x:v>
      </x:c>
      <x:c r="W139" s="8" t="str">
        <x:v>https://parks.portlandciviclab.org/parks/jefferson-street-property-900</x:v>
      </x:c>
    </x:row>
    <x:row r="140" ht="23" customHeight="1">
      <x:c r="A140" s="7" t="str">
        <x:v>201</x:v>
      </x:c>
      <x:c r="B140" s="7" t="str">
        <x:v>Jensen Natural Area</x:v>
      </x:c>
      <x:c r="C140" s="7" t="str">
        <x:v>natural-area</x:v>
      </x:c>
      <x:c r="D140" s="7" t="str">
        <x:v>District 4</x:v>
      </x:c>
      <x:c r="E140" s="19" t="n">
        <x:v>2.27899503</x:v>
      </x:c>
      <x:c r="F140" s="7" t="n">
        <x:v>1</x:v>
      </x:c>
      <x:c r="G140" s="7" t="n">
        <x:v>0</x:v>
      </x:c>
      <x:c r="H140" s="7" t="n">
        <x:v>0</x:v>
      </x:c>
      <x:c r="I140" s="7" t="n">
        <x:v>0</x:v>
      </x:c>
      <x:c r="J140" s="7" t="n">
        <x:v>0</x:v>
      </x:c>
      <x:c r="K140" s="7" t="n">
        <x:v>0</x:v>
      </x:c>
      <x:c r="L140" s="26" t="n">
        <x:f>F140*'Service inputs'!B66*'Service inputs'!C66</x:f>
        <x:v>78</x:v>
      </x:c>
      <x:c r="M140" s="26" t="n">
        <x:f>F140*E140*'Service inputs'!D66</x:f>
        <x:v>0.01139497515</x:v>
      </x:c>
      <x:c r="N140" s="26" t="n">
        <x:f>F140*E140*'Service inputs'!E66</x:f>
        <x:v>0</x:v>
      </x:c>
      <x:c r="O140" s="26" t="n">
        <x:f>F140*E140*'Service inputs'!F66</x:f>
        <x:v>2.2562050797</x:v>
      </x:c>
      <x:c r="P140" s="26" t="n">
        <x:f>L140+F140*G140*'Service inputs'!$B$17*'Service inputs'!$B$18*'Service inputs'!$B$19+M140*('Service inputs'!$B$20*'Service inputs'!$B$21+'Service inputs'!$B$22)+N140*'Service inputs'!$B$23+F140*(H140*'Service inputs'!$B$28*'Service inputs'!$B$29+I140*'Service inputs'!$B$24*'Service inputs'!$B$25+J140*'Service inputs'!$B$26*'Service inputs'!$B$27+K140*'Service inputs'!$B$30*'Service inputs'!$B$31)</x:f>
        <x:v>78.26208442845</x:v>
      </x:c>
      <x:c r="Q140" s="26" t="n">
        <x:f>O140/SUM($O$5:$O$320)*SUMIF(Workload!$A$5:$A$40,"Ecology",Workload!$G$5:$G$40)</x:f>
        <x:v>23.68498380832704</x:v>
      </x:c>
      <x:c r="R140" s="27" t="n">
        <x:f>P140/SUMIF(Workload!$A$5:$A$40,"Grounds",Workload!$G$5:$G$40)*Staffing!$J$5+Q140/SUMIF(Workload!$A$5:$A$40,"Ecology",Workload!$G$5:$G$40)*Staffing!$J$7</x:f>
        <x:v>10695.233864034368</x:v>
      </x:c>
      <x:c r="S140" s="7" t="n">
        <x:v>0</x:v>
      </x:c>
      <x:c r="T140" s="23" t="n">
        <x:v>0</x:v>
      </x:c>
      <x:c r="U140" s="7" t="n">
        <x:v>0</x:v>
      </x:c>
      <x:c r="V140" s="7" t="n">
        <x:v>0</x:v>
      </x:c>
      <x:c r="W140" s="7" t="str">
        <x:v>https://parks.portlandciviclab.org/parks/jensen-natural-area-201</x:v>
      </x:c>
    </x:row>
    <x:row r="141" ht="23" customHeight="1">
      <x:c r="A141" s="8" t="str">
        <x:v>202</x:v>
      </x:c>
      <x:c r="B141" s="8" t="str">
        <x:v>John Luby Park</x:v>
      </x:c>
      <x:c r="C141" s="8" t="str">
        <x:v>developed-park</x:v>
      </x:c>
      <x:c r="D141" s="8" t="str">
        <x:v>District 1</x:v>
      </x:c>
      <x:c r="E141" s="18" t="n">
        <x:v>10.41684547</x:v>
      </x:c>
      <x:c r="F141" s="8" t="n">
        <x:v>1</x:v>
      </x:c>
      <x:c r="G141" s="8" t="n">
        <x:v>0</x:v>
      </x:c>
      <x:c r="H141" s="8" t="n">
        <x:v>1</x:v>
      </x:c>
      <x:c r="I141" s="8" t="n">
        <x:v>1</x:v>
      </x:c>
      <x:c r="J141" s="8" t="n">
        <x:v>0</x:v>
      </x:c>
      <x:c r="K141" s="8" t="n">
        <x:v>0</x:v>
      </x:c>
      <x:c r="L141" s="24" t="n">
        <x:f>F141*'Service inputs'!B65*'Service inputs'!C65</x:f>
        <x:v>547.5</x:v>
      </x:c>
      <x:c r="M141" s="24" t="n">
        <x:f>F141*E141*'Service inputs'!D65</x:f>
        <x:v>5.7292650085000005</x:v>
      </x:c>
      <x:c r="N141" s="24" t="n">
        <x:f>F141*E141*'Service inputs'!E65</x:f>
        <x:v>0.5208422735</x:v>
      </x:c>
      <x:c r="O141" s="24" t="n">
        <x:f>F141*E141*'Service inputs'!F65</x:f>
        <x:v>2.6042113675</x:v>
      </x:c>
      <x:c r="P141" s="24" t="n">
        <x:f>L141+F141*G141*'Service inputs'!$B$17*'Service inputs'!$B$18*'Service inputs'!$B$19+M141*('Service inputs'!$B$20*'Service inputs'!$B$21+'Service inputs'!$B$22)+N141*'Service inputs'!$B$23+F141*(H141*'Service inputs'!$B$28*'Service inputs'!$B$29+I141*'Service inputs'!$B$24*'Service inputs'!$B$25+J141*'Service inputs'!$B$26*'Service inputs'!$B$27+K141*'Service inputs'!$B$30*'Service inputs'!$B$31)</x:f>
        <x:v>885.7741680155</x:v>
      </x:c>
      <x:c r="Q141" s="24" t="n">
        <x:f>O141/SUM($O$5:$O$320)*SUMIF(Workload!$A$5:$A$40,"Ecology",Workload!$G$5:$G$40)</x:f>
        <x:v>27.3382524610308</x:v>
      </x:c>
      <x:c r="R141" s="25" t="n">
        <x:f>P141/SUMIF(Workload!$A$5:$A$40,"Grounds",Workload!$G$5:$G$40)*Staffing!$J$5+Q141/SUMIF(Workload!$A$5:$A$40,"Ecology",Workload!$G$5:$G$40)*Staffing!$J$7</x:f>
        <x:v>93188.60901761346</x:v>
      </x:c>
      <x:c r="S141" s="8" t="n">
        <x:v>242</x:v>
      </x:c>
      <x:c r="T141" s="22" t="n">
        <x:v>0.09090909090909091</x:v>
      </x:c>
      <x:c r="U141" s="8" t="n">
        <x:v>6</x:v>
      </x:c>
      <x:c r="V141" s="8" t="n">
        <x:v>0</x:v>
      </x:c>
      <x:c r="W141" s="8" t="str">
        <x:v>https://parks.portlandciviclab.org/parks/john-luby-park-202</x:v>
      </x:c>
    </x:row>
    <x:row r="142" ht="23" customHeight="1">
      <x:c r="A142" s="7" t="str">
        <x:v>203</x:v>
      </x:c>
      <x:c r="B142" s="7" t="str">
        <x:v>Johns Community Garden</x:v>
      </x:c>
      <x:c r="C142" s="7" t="str">
        <x:v>community-garden</x:v>
      </x:c>
      <x:c r="D142" s="7" t="str">
        <x:v>District 2</x:v>
      </x:c>
      <x:c r="E142" s="19" t="n">
        <x:v>0.9855965</x:v>
      </x:c>
      <x:c r="F142" s="7" t="n">
        <x:v>1</x:v>
      </x:c>
      <x:c r="G142" s="7" t="n">
        <x:v>0</x:v>
      </x:c>
      <x:c r="H142" s="7" t="n">
        <x:v>0</x:v>
      </x:c>
      <x:c r="I142" s="7" t="n">
        <x:v>0</x:v>
      </x:c>
      <x:c r="J142" s="7" t="n">
        <x:v>0</x:v>
      </x:c>
      <x:c r="K142" s="7" t="n">
        <x:v>0</x:v>
      </x:c>
      <x:c r="L142" s="26" t="n">
        <x:f>F142*'Service inputs'!B67*'Service inputs'!C67</x:f>
        <x:v>52</x:v>
      </x:c>
      <x:c r="M142" s="26" t="n">
        <x:f>F142*E142*'Service inputs'!D67</x:f>
        <x:v>0.049279825</x:v>
      </x:c>
      <x:c r="N142" s="26" t="n">
        <x:f>F142*E142*'Service inputs'!E67</x:f>
        <x:v>0.09855965</x:v>
      </x:c>
      <x:c r="O142" s="26" t="n">
        <x:f>F142*E142*'Service inputs'!F67</x:f>
        <x:v>0</x:v>
      </x:c>
      <x:c r="P142" s="26" t="n">
        <x:f>L142+F142*G142*'Service inputs'!$B$17*'Service inputs'!$B$18*'Service inputs'!$B$19+M142*('Service inputs'!$B$20*'Service inputs'!$B$21+'Service inputs'!$B$22)+N142*'Service inputs'!$B$23+F142*(H142*'Service inputs'!$B$28*'Service inputs'!$B$29+I142*'Service inputs'!$B$24*'Service inputs'!$B$25+J142*'Service inputs'!$B$26*'Service inputs'!$B$27+K142*'Service inputs'!$B$30*'Service inputs'!$B$31)</x:f>
        <x:v>64.960593975</x:v>
      </x:c>
      <x:c r="Q142" s="26" t="n">
        <x:f>O142/SUM($O$5:$O$320)*SUMIF(Workload!$A$5:$A$40,"Ecology",Workload!$G$5:$G$40)</x:f>
        <x:v>0</x:v>
      </x:c>
      <x:c r="R142" s="27" t="n">
        <x:f>P142/SUMIF(Workload!$A$5:$A$40,"Grounds",Workload!$G$5:$G$40)*Staffing!$J$5+Q142/SUMIF(Workload!$A$5:$A$40,"Ecology",Workload!$G$5:$G$40)*Staffing!$J$7</x:f>
        <x:v>6602.195748845336</x:v>
      </x:c>
      <x:c r="S142" s="7" t="n">
        <x:v>6</x:v>
      </x:c>
      <x:c r="T142" s="23" t="n">
        <x:v>0.5</x:v>
      </x:c>
      <x:c r="U142" s="7" t="n">
        <x:v>3</x:v>
      </x:c>
      <x:c r="V142" s="7" t="n">
        <x:v>0</x:v>
      </x:c>
      <x:c r="W142" s="7" t="str">
        <x:v>https://parks.portlandciviclab.org/parks/johns-community-garden-203</x:v>
      </x:c>
    </x:row>
    <x:row r="143" ht="23" customHeight="1">
      <x:c r="A143" s="8" t="str">
        <x:v>205</x:v>
      </x:c>
      <x:c r="B143" s="8" t="str">
        <x:v>Johnson Creek Park</x:v>
      </x:c>
      <x:c r="C143" s="8" t="str">
        <x:v>natural-area</x:v>
      </x:c>
      <x:c r="D143" s="8" t="str">
        <x:v>District 4</x:v>
      </x:c>
      <x:c r="E143" s="18" t="n">
        <x:v>4.52188404</x:v>
      </x:c>
      <x:c r="F143" s="8" t="n">
        <x:v>1</x:v>
      </x:c>
      <x:c r="G143" s="8" t="n">
        <x:v>1</x:v>
      </x:c>
      <x:c r="H143" s="8" t="n">
        <x:v>1</x:v>
      </x:c>
      <x:c r="I143" s="8" t="n">
        <x:v>0</x:v>
      </x:c>
      <x:c r="J143" s="8" t="n">
        <x:v>0</x:v>
      </x:c>
      <x:c r="K143" s="8" t="n">
        <x:v>0</x:v>
      </x:c>
      <x:c r="L143" s="24" t="n">
        <x:f>F143*'Service inputs'!B66*'Service inputs'!C66</x:f>
        <x:v>78</x:v>
      </x:c>
      <x:c r="M143" s="24" t="n">
        <x:f>F143*E143*'Service inputs'!D66</x:f>
        <x:v>0.0226094202</x:v>
      </x:c>
      <x:c r="N143" s="24" t="n">
        <x:f>F143*E143*'Service inputs'!E66</x:f>
        <x:v>0</x:v>
      </x:c>
      <x:c r="O143" s="24" t="n">
        <x:f>F143*E143*'Service inputs'!F66</x:f>
        <x:v>4.476665199599999</x:v>
      </x:c>
      <x:c r="P143" s="24" t="n">
        <x:f>L143+F143*G143*'Service inputs'!$B$17*'Service inputs'!$B$18*'Service inputs'!$B$19+M143*('Service inputs'!$B$20*'Service inputs'!$B$21+'Service inputs'!$B$22)+N143*'Service inputs'!$B$23+F143*(H143*'Service inputs'!$B$28*'Service inputs'!$B$29+I143*'Service inputs'!$B$24*'Service inputs'!$B$25+J143*'Service inputs'!$B$26*'Service inputs'!$B$27+K143*'Service inputs'!$B$30*'Service inputs'!$B$31)</x:f>
        <x:v>439.2700166646</x:v>
      </x:c>
      <x:c r="Q143" s="24" t="n">
        <x:f>O143/SUM($O$5:$O$320)*SUMIF(Workload!$A$5:$A$40,"Ecology",Workload!$G$5:$G$40)</x:f>
        <x:v>46.99472743937157</x:v>
      </x:c>
      <x:c r="R143" s="25" t="n">
        <x:f>P143/SUMIF(Workload!$A$5:$A$40,"Grounds",Workload!$G$5:$G$40)*Staffing!$J$5+Q143/SUMIF(Workload!$A$5:$A$40,"Ecology",Workload!$G$5:$G$40)*Staffing!$J$7</x:f>
        <x:v>50083.590901197145</x:v>
      </x:c>
      <x:c r="S143" s="8" t="n">
        <x:v>28</x:v>
      </x:c>
      <x:c r="T143" s="22" t="n">
        <x:v>0.17857142857142858</x:v>
      </x:c>
      <x:c r="U143" s="8" t="n">
        <x:v>1</x:v>
      </x:c>
      <x:c r="V143" s="8" t="n">
        <x:v>0</x:v>
      </x:c>
      <x:c r="W143" s="8" t="str">
        <x:v>https://parks.portlandciviclab.org/parks/johnson-creek-park-205</x:v>
      </x:c>
    </x:row>
    <x:row r="144" ht="23" customHeight="1">
      <x:c r="A144" s="7" t="str">
        <x:v>207</x:v>
      </x:c>
      <x:c r="B144" s="7" t="str">
        <x:v>Johnson Lake Property</x:v>
      </x:c>
      <x:c r="C144" s="7" t="str">
        <x:v>natural-area</x:v>
      </x:c>
      <x:c r="D144" s="7" t="str">
        <x:v>District 1</x:v>
      </x:c>
      <x:c r="E144" s="19" t="n">
        <x:v>15.19542127</x:v>
      </x:c>
      <x:c r="F144" s="7" t="n">
        <x:v>1</x:v>
      </x:c>
      <x:c r="G144" s="7" t="n">
        <x:v>0</x:v>
      </x:c>
      <x:c r="H144" s="7" t="n">
        <x:v>0</x:v>
      </x:c>
      <x:c r="I144" s="7" t="n">
        <x:v>0</x:v>
      </x:c>
      <x:c r="J144" s="7" t="n">
        <x:v>0</x:v>
      </x:c>
      <x:c r="K144" s="7" t="n">
        <x:v>0</x:v>
      </x:c>
      <x:c r="L144" s="26" t="n">
        <x:f>F144*'Service inputs'!B66*'Service inputs'!C66</x:f>
        <x:v>78</x:v>
      </x:c>
      <x:c r="M144" s="26" t="n">
        <x:f>F144*E144*'Service inputs'!D66</x:f>
        <x:v>0.07597710635</x:v>
      </x:c>
      <x:c r="N144" s="26" t="n">
        <x:f>F144*E144*'Service inputs'!E66</x:f>
        <x:v>0</x:v>
      </x:c>
      <x:c r="O144" s="26" t="n">
        <x:f>F144*E144*'Service inputs'!F66</x:f>
        <x:v>15.043467057300001</x:v>
      </x:c>
      <x:c r="P144" s="26" t="n">
        <x:f>L144+F144*G144*'Service inputs'!$B$17*'Service inputs'!$B$18*'Service inputs'!$B$19+M144*('Service inputs'!$B$20*'Service inputs'!$B$21+'Service inputs'!$B$22)+N144*'Service inputs'!$B$23+F144*(H144*'Service inputs'!$B$28*'Service inputs'!$B$29+I144*'Service inputs'!$B$24*'Service inputs'!$B$25+J144*'Service inputs'!$B$26*'Service inputs'!$B$27+K144*'Service inputs'!$B$30*'Service inputs'!$B$31)</x:f>
        <x:v>79.74747344605</x:v>
      </x:c>
      <x:c r="Q144" s="26" t="n">
        <x:f>O144/SUM($O$5:$O$320)*SUMIF(Workload!$A$5:$A$40,"Ecology",Workload!$G$5:$G$40)</x:f>
        <x:v>157.92193576686228</x:v>
      </x:c>
      <x:c r="R144" s="27" t="n">
        <x:f>P144/SUMIF(Workload!$A$5:$A$40,"Grounds",Workload!$G$5:$G$40)*Staffing!$J$5+Q144/SUMIF(Workload!$A$5:$A$40,"Ecology",Workload!$G$5:$G$40)*Staffing!$J$7</x:f>
        <x:v>26381.97009063713</x:v>
      </x:c>
      <x:c r="S144" s="7" t="n">
        <x:v>0</x:v>
      </x:c>
      <x:c r="T144" s="23" t="n">
        <x:v>0</x:v>
      </x:c>
      <x:c r="U144" s="7" t="n">
        <x:v>0</x:v>
      </x:c>
      <x:c r="V144" s="7" t="n">
        <x:v>0</x:v>
      </x:c>
      <x:c r="W144" s="7" t="str">
        <x:v>https://parks.portlandciviclab.org/parks/johnson-lake-property-207</x:v>
      </x:c>
    </x:row>
    <x:row r="145" ht="23" customHeight="1">
      <x:c r="A145" s="8" t="str">
        <x:v>1196</x:v>
      </x:c>
      <x:c r="B145" s="8" t="str">
        <x:v>Johnswood Property</x:v>
      </x:c>
      <x:c r="C145" s="8" t="str">
        <x:v>uncertain</x:v>
      </x:c>
      <x:c r="D145" s="8" t="str">
        <x:v>District 2</x:v>
      </x:c>
      <x:c r="E145" s="18" t="n">
        <x:v>1.25124539</x:v>
      </x:c>
      <x:c r="F145" s="8" t="n">
        <x:v>1</x:v>
      </x:c>
      <x:c r="G145" s="8" t="n">
        <x:v>0</x:v>
      </x:c>
      <x:c r="H145" s="8" t="n">
        <x:v>0</x:v>
      </x:c>
      <x:c r="I145" s="8" t="n">
        <x:v>0</x:v>
      </x:c>
      <x:c r="J145" s="8" t="n">
        <x:v>0</x:v>
      </x:c>
      <x:c r="K145" s="8" t="n">
        <x:v>0</x:v>
      </x:c>
      <x:c r="L145" s="24" t="n">
        <x:f>F145*'Service inputs'!B74*'Service inputs'!C74</x:f>
        <x:v>52</x:v>
      </x:c>
      <x:c r="M145" s="24" t="n">
        <x:f>F145*E145*'Service inputs'!D74</x:f>
        <x:v>0.125124539</x:v>
      </x:c>
      <x:c r="N145" s="24" t="n">
        <x:f>F145*E145*'Service inputs'!E74</x:f>
        <x:v>0.0250249078</x:v>
      </x:c>
      <x:c r="O145" s="24" t="n">
        <x:f>F145*E145*'Service inputs'!F74</x:f>
        <x:v>0.625622695</x:v>
      </x:c>
      <x:c r="P145" s="24" t="n">
        <x:f>L145+F145*G145*'Service inputs'!$B$17*'Service inputs'!$B$18*'Service inputs'!$B$19+M145*('Service inputs'!$B$20*'Service inputs'!$B$21+'Service inputs'!$B$22)+N145*'Service inputs'!$B$23+F145*(H145*'Service inputs'!$B$28*'Service inputs'!$B$29+I145*'Service inputs'!$B$24*'Service inputs'!$B$25+J145*'Service inputs'!$B$26*'Service inputs'!$B$27+K145*'Service inputs'!$B$30*'Service inputs'!$B$31)</x:f>
        <x:v>57.880853333000005</x:v>
      </x:c>
      <x:c r="Q145" s="24" t="n">
        <x:f>O145/SUM($O$5:$O$320)*SUMIF(Workload!$A$5:$A$40,"Ecology",Workload!$G$5:$G$40)</x:f>
        <x:v>6.5676048398788325</x:v>
      </x:c>
      <x:c r="R145" s="25" t="n">
        <x:f>P145/SUMIF(Workload!$A$5:$A$40,"Grounds",Workload!$G$5:$G$40)*Staffing!$J$5+Q145/SUMIF(Workload!$A$5:$A$40,"Ecology",Workload!$G$5:$G$40)*Staffing!$J$7</x:f>
        <x:v>6642.749136395238</x:v>
      </x:c>
      <x:c r="S145" s="8" t="n">
        <x:v>0</x:v>
      </x:c>
      <x:c r="T145" s="22" t="n">
        <x:v>0</x:v>
      </x:c>
      <x:c r="U145" s="8" t="n">
        <x:v>0</x:v>
      </x:c>
      <x:c r="V145" s="8" t="n">
        <x:v>0</x:v>
      </x:c>
      <x:c r="W145" s="8" t="str">
        <x:v>https://parks.portlandciviclab.org/parks/johnswood-property-1196</x:v>
      </x:c>
    </x:row>
    <x:row r="146" ht="23" customHeight="1">
      <x:c r="A146" s="7" t="str">
        <x:v>1291</x:v>
      </x:c>
      <x:c r="B146" s="7" t="str">
        <x:v>Joseph Wood Hill Park</x:v>
      </x:c>
      <x:c r="C146" s="7" t="str">
        <x:v>developed-park</x:v>
      </x:c>
      <x:c r="D146" s="7" t="str">
        <x:v>District 3</x:v>
      </x:c>
      <x:c r="E146" s="19" t="n">
        <x:v>2.42129284</x:v>
      </x:c>
      <x:c r="F146" s="7" t="n">
        <x:v>1</x:v>
      </x:c>
      <x:c r="G146" s="7" t="n">
        <x:v>0</x:v>
      </x:c>
      <x:c r="H146" s="7" t="n">
        <x:v>0</x:v>
      </x:c>
      <x:c r="I146" s="7" t="n">
        <x:v>0</x:v>
      </x:c>
      <x:c r="J146" s="7" t="n">
        <x:v>0</x:v>
      </x:c>
      <x:c r="K146" s="7" t="n">
        <x:v>0</x:v>
      </x:c>
      <x:c r="L146" s="26" t="n">
        <x:f>F146*'Service inputs'!B65*'Service inputs'!C65</x:f>
        <x:v>547.5</x:v>
      </x:c>
      <x:c r="M146" s="26" t="n">
        <x:f>F146*E146*'Service inputs'!D65</x:f>
        <x:v>1.3317110620000001</x:v>
      </x:c>
      <x:c r="N146" s="26" t="n">
        <x:f>F146*E146*'Service inputs'!E65</x:f>
        <x:v>0.121064642</x:v>
      </x:c>
      <x:c r="O146" s="26" t="n">
        <x:f>F146*E146*'Service inputs'!F65</x:f>
        <x:v>0.60532321</x:v>
      </x:c>
      <x:c r="P146" s="26" t="n">
        <x:f>L146+F146*G146*'Service inputs'!$B$17*'Service inputs'!$B$18*'Service inputs'!$B$19+M146*('Service inputs'!$B$20*'Service inputs'!$B$21+'Service inputs'!$B$22)+N146*'Service inputs'!$B$23+F146*(H146*'Service inputs'!$B$28*'Service inputs'!$B$29+I146*'Service inputs'!$B$24*'Service inputs'!$B$25+J146*'Service inputs'!$B$26*'Service inputs'!$B$27+K146*'Service inputs'!$B$30*'Service inputs'!$B$31)</x:f>
        <x:v>592.657111466</x:v>
      </x:c>
      <x:c r="Q146" s="26" t="n">
        <x:f>O146/SUM($O$5:$O$320)*SUMIF(Workload!$A$5:$A$40,"Ecology",Workload!$G$5:$G$40)</x:f>
        <x:v>6.35450675856155</x:v>
      </x:c>
      <x:c r="R146" s="27" t="n">
        <x:f>P146/SUMIF(Workload!$A$5:$A$40,"Grounds",Workload!$G$5:$G$40)*Staffing!$J$5+Q146/SUMIF(Workload!$A$5:$A$40,"Ecology",Workload!$G$5:$G$40)*Staffing!$J$7</x:f>
        <x:v>60969.46045164979</x:v>
      </x:c>
      <x:c r="S146" s="7" t="n">
        <x:v>29</x:v>
      </x:c>
      <x:c r="T146" s="23" t="n">
        <x:v>0</x:v>
      </x:c>
      <x:c r="U146" s="7" t="n">
        <x:v>0</x:v>
      </x:c>
      <x:c r="V146" s="7" t="n">
        <x:v>0</x:v>
      </x:c>
      <x:c r="W146" s="7" t="str">
        <x:v>https://parks.portlandciviclab.org/parks/joseph-wood-hill-park-1291</x:v>
      </x:c>
    </x:row>
    <x:row r="147" ht="23" customHeight="1">
      <x:c r="A147" s="8" t="str">
        <x:v>209</x:v>
      </x:c>
      <x:c r="B147" s="8" t="str">
        <x:v>Kelley Point Park</x:v>
      </x:c>
      <x:c r="C147" s="8" t="str">
        <x:v>developed-park</x:v>
      </x:c>
      <x:c r="D147" s="8" t="str">
        <x:v>District 2</x:v>
      </x:c>
      <x:c r="E147" s="18" t="n">
        <x:v>104.69019694</x:v>
      </x:c>
      <x:c r="F147" s="8" t="n">
        <x:v>1</x:v>
      </x:c>
      <x:c r="G147" s="8" t="n">
        <x:v>2</x:v>
      </x:c>
      <x:c r="H147" s="8" t="n">
        <x:v>0</x:v>
      </x:c>
      <x:c r="I147" s="8" t="n">
        <x:v>0</x:v>
      </x:c>
      <x:c r="J147" s="8" t="n">
        <x:v>0</x:v>
      </x:c>
      <x:c r="K147" s="8" t="n">
        <x:v>0</x:v>
      </x:c>
      <x:c r="L147" s="24" t="n">
        <x:f>F147*'Service inputs'!B65*'Service inputs'!C65</x:f>
        <x:v>547.5</x:v>
      </x:c>
      <x:c r="M147" s="24" t="n">
        <x:f>F147*E147*'Service inputs'!D65</x:f>
        <x:v>57.57960831700001</x:v>
      </x:c>
      <x:c r="N147" s="24" t="n">
        <x:f>F147*E147*'Service inputs'!E65</x:f>
        <x:v>5.234509847000001</x:v>
      </x:c>
      <x:c r="O147" s="24" t="n">
        <x:f>F147*E147*'Service inputs'!F65</x:f>
        <x:v>26.172549235</x:v>
      </x:c>
      <x:c r="P147" s="24" t="n">
        <x:f>L147+F147*G147*'Service inputs'!$B$17*'Service inputs'!$B$18*'Service inputs'!$B$19+M147*('Service inputs'!$B$20*'Service inputs'!$B$21+'Service inputs'!$B$22)+N147*'Service inputs'!$B$23+F147*(H147*'Service inputs'!$B$28*'Service inputs'!$B$29+I147*'Service inputs'!$B$24*'Service inputs'!$B$25+J147*'Service inputs'!$B$26*'Service inputs'!$B$27+K147*'Service inputs'!$B$30*'Service inputs'!$B$31)</x:f>
        <x:v>3143.472172931</x:v>
      </x:c>
      <x:c r="Q147" s="24" t="n">
        <x:f>O147/SUM($O$5:$O$320)*SUMIF(Workload!$A$5:$A$40,"Ecology",Workload!$G$5:$G$40)</x:f>
        <x:v>274.7517991299101</x:v>
      </x:c>
      <x:c r="R147" s="25" t="n">
        <x:f>P147/SUMIF(Workload!$A$5:$A$40,"Grounds",Workload!$G$5:$G$40)*Staffing!$J$5+Q147/SUMIF(Workload!$A$5:$A$40,"Ecology",Workload!$G$5:$G$40)*Staffing!$J$7</x:f>
        <x:v>351281.30909244926</x:v>
      </x:c>
      <x:c r="S147" s="8" t="n">
        <x:v>67</x:v>
      </x:c>
      <x:c r="T147" s="22" t="n">
        <x:v>0.07462686567164178</x:v>
      </x:c>
      <x:c r="U147" s="8" t="n">
        <x:v>3</x:v>
      </x:c>
      <x:c r="V147" s="8" t="n">
        <x:v>0</x:v>
      </x:c>
      <x:c r="W147" s="8" t="str">
        <x:v>https://parks.portlandciviclab.org/parks/kelley-point-park-209</x:v>
      </x:c>
    </x:row>
    <x:row r="148" ht="23" customHeight="1">
      <x:c r="A148" s="7" t="str">
        <x:v>210</x:v>
      </x:c>
      <x:c r="B148" s="7" t="str">
        <x:v>Kelly Butte Natural Area</x:v>
      </x:c>
      <x:c r="C148" s="7" t="str">
        <x:v>natural-area</x:v>
      </x:c>
      <x:c r="D148" s="7" t="str">
        <x:v>District 1</x:v>
      </x:c>
      <x:c r="E148" s="19" t="n">
        <x:v>23.34230646</x:v>
      </x:c>
      <x:c r="F148" s="7" t="n">
        <x:v>1</x:v>
      </x:c>
      <x:c r="G148" s="7" t="n">
        <x:v>0</x:v>
      </x:c>
      <x:c r="H148" s="7" t="n">
        <x:v>0</x:v>
      </x:c>
      <x:c r="I148" s="7" t="n">
        <x:v>0</x:v>
      </x:c>
      <x:c r="J148" s="7" t="n">
        <x:v>0</x:v>
      </x:c>
      <x:c r="K148" s="7" t="n">
        <x:v>0</x:v>
      </x:c>
      <x:c r="L148" s="26" t="n">
        <x:f>F148*'Service inputs'!B66*'Service inputs'!C66</x:f>
        <x:v>78</x:v>
      </x:c>
      <x:c r="M148" s="26" t="n">
        <x:f>F148*E148*'Service inputs'!D66</x:f>
        <x:v>0.1167115323</x:v>
      </x:c>
      <x:c r="N148" s="26" t="n">
        <x:f>F148*E148*'Service inputs'!E66</x:f>
        <x:v>0</x:v>
      </x:c>
      <x:c r="O148" s="26" t="n">
        <x:f>F148*E148*'Service inputs'!F66</x:f>
        <x:v>23.1088833954</x:v>
      </x:c>
      <x:c r="P148" s="26" t="n">
        <x:f>L148+F148*G148*'Service inputs'!$B$17*'Service inputs'!$B$18*'Service inputs'!$B$19+M148*('Service inputs'!$B$20*'Service inputs'!$B$21+'Service inputs'!$B$22)+N148*'Service inputs'!$B$23+F148*(H148*'Service inputs'!$B$28*'Service inputs'!$B$29+I148*'Service inputs'!$B$24*'Service inputs'!$B$25+J148*'Service inputs'!$B$26*'Service inputs'!$B$27+K148*'Service inputs'!$B$30*'Service inputs'!$B$31)</x:f>
        <x:v>80.6843652429</x:v>
      </x:c>
      <x:c r="Q148" s="26" t="n">
        <x:f>O148/SUM($O$5:$O$320)*SUMIF(Workload!$A$5:$A$40,"Ecology",Workload!$G$5:$G$40)</x:f>
        <x:v>242.59032743661038</x:v>
      </x:c>
      <x:c r="R148" s="27" t="n">
        <x:f>P148/SUMIF(Workload!$A$5:$A$40,"Grounds",Workload!$G$5:$G$40)*Staffing!$J$5+Q148/SUMIF(Workload!$A$5:$A$40,"Ecology",Workload!$G$5:$G$40)*Staffing!$J$7</x:f>
        <x:v>36276.19599100092</x:v>
      </x:c>
      <x:c r="S148" s="7" t="n">
        <x:v>0</x:v>
      </x:c>
      <x:c r="T148" s="23" t="n">
        <x:v>0</x:v>
      </x:c>
      <x:c r="U148" s="7" t="n">
        <x:v>0</x:v>
      </x:c>
      <x:c r="V148" s="7" t="n">
        <x:v>0</x:v>
      </x:c>
      <x:c r="W148" s="7" t="str">
        <x:v>https://parks.portlandciviclab.org/parks/kelly-butte-natural-area-210</x:v>
      </x:c>
    </x:row>
    <x:row r="149" ht="23" customHeight="1">
      <x:c r="A149" s="8" t="str">
        <x:v>213</x:v>
      </x:c>
      <x:c r="B149" s="8" t="str">
        <x:v>Kenilworth Park</x:v>
      </x:c>
      <x:c r="C149" s="8" t="str">
        <x:v>developed-park</x:v>
      </x:c>
      <x:c r="D149" s="8" t="str">
        <x:v>District 3</x:v>
      </x:c>
      <x:c r="E149" s="18" t="n">
        <x:v>8.39543786</x:v>
      </x:c>
      <x:c r="F149" s="8" t="n">
        <x:v>1</x:v>
      </x:c>
      <x:c r="G149" s="8" t="n">
        <x:v>1</x:v>
      </x:c>
      <x:c r="H149" s="8" t="n">
        <x:v>1</x:v>
      </x:c>
      <x:c r="I149" s="8" t="n">
        <x:v>1</x:v>
      </x:c>
      <x:c r="J149" s="8" t="n">
        <x:v>3</x:v>
      </x:c>
      <x:c r="K149" s="8" t="n">
        <x:v>0</x:v>
      </x:c>
      <x:c r="L149" s="24" t="n">
        <x:f>F149*'Service inputs'!B65*'Service inputs'!C65</x:f>
        <x:v>547.5</x:v>
      </x:c>
      <x:c r="M149" s="24" t="n">
        <x:f>F149*E149*'Service inputs'!D65</x:f>
        <x:v>4.617490823</x:v>
      </x:c>
      <x:c r="N149" s="24" t="n">
        <x:f>F149*E149*'Service inputs'!E65</x:f>
        <x:v>0.419771893</x:v>
      </x:c>
      <x:c r="O149" s="24" t="n">
        <x:f>F149*E149*'Service inputs'!F65</x:f>
        <x:v>2.098859465</x:v>
      </x:c>
      <x:c r="P149" s="24" t="n">
        <x:f>L149+F149*G149*'Service inputs'!$B$17*'Service inputs'!$B$18*'Service inputs'!$B$19+M149*('Service inputs'!$B$20*'Service inputs'!$B$21+'Service inputs'!$B$22)+N149*'Service inputs'!$B$23+F149*(H149*'Service inputs'!$B$28*'Service inputs'!$B$29+I149*'Service inputs'!$B$24*'Service inputs'!$B$25+J149*'Service inputs'!$B$26*'Service inputs'!$B$27+K149*'Service inputs'!$B$30*'Service inputs'!$B$31)</x:f>
        <x:v>1223.824916089</x:v>
      </x:c>
      <x:c r="Q149" s="24" t="n">
        <x:f>O149/SUM($O$5:$O$320)*SUMIF(Workload!$A$5:$A$40,"Ecology",Workload!$G$5:$G$40)</x:f>
        <x:v>22.033215372021463</x:v>
      </x:c>
      <x:c r="R149" s="25" t="n">
        <x:f>P149/SUMIF(Workload!$A$5:$A$40,"Grounds",Workload!$G$5:$G$40)*Staffing!$J$5+Q149/SUMIF(Workload!$A$5:$A$40,"Ecology",Workload!$G$5:$G$40)*Staffing!$J$7</x:f>
        <x:v>126932.03775569265</x:v>
      </x:c>
      <x:c r="S149" s="8" t="n">
        <x:v>111</x:v>
      </x:c>
      <x:c r="T149" s="22" t="n">
        <x:v>0.32432432432432434</x:v>
      </x:c>
      <x:c r="U149" s="8" t="n">
        <x:v>11</x:v>
      </x:c>
      <x:c r="V149" s="8" t="n">
        <x:v>0</x:v>
      </x:c>
      <x:c r="W149" s="8" t="str">
        <x:v>https://parks.portlandciviclab.org/parks/kenilworth-park-213</x:v>
      </x:c>
    </x:row>
    <x:row r="150" ht="23" customHeight="1">
      <x:c r="A150" s="7" t="str">
        <x:v>214</x:v>
      </x:c>
      <x:c r="B150" s="7" t="str">
        <x:v>Kennedy Community Garden</x:v>
      </x:c>
      <x:c r="C150" s="7" t="str">
        <x:v>community-garden</x:v>
      </x:c>
      <x:c r="D150" s="7" t="str">
        <x:v>District 2</x:v>
      </x:c>
      <x:c r="E150" s="19" t="n">
        <x:v>0.35916834</x:v>
      </x:c>
      <x:c r="F150" s="7" t="n">
        <x:v>1</x:v>
      </x:c>
      <x:c r="G150" s="7" t="n">
        <x:v>0</x:v>
      </x:c>
      <x:c r="H150" s="7" t="n">
        <x:v>0</x:v>
      </x:c>
      <x:c r="I150" s="7" t="n">
        <x:v>0</x:v>
      </x:c>
      <x:c r="J150" s="7" t="n">
        <x:v>0</x:v>
      </x:c>
      <x:c r="K150" s="7" t="n">
        <x:v>0</x:v>
      </x:c>
      <x:c r="L150" s="26" t="n">
        <x:f>F150*'Service inputs'!B67*'Service inputs'!C67</x:f>
        <x:v>52</x:v>
      </x:c>
      <x:c r="M150" s="26" t="n">
        <x:f>F150*E150*'Service inputs'!D67</x:f>
        <x:v>0.017958417</x:v>
      </x:c>
      <x:c r="N150" s="26" t="n">
        <x:f>F150*E150*'Service inputs'!E67</x:f>
        <x:v>0.035916834</x:v>
      </x:c>
      <x:c r="O150" s="26" t="n">
        <x:f>F150*E150*'Service inputs'!F67</x:f>
        <x:v>0</x:v>
      </x:c>
      <x:c r="P150" s="26" t="n">
        <x:f>L150+F150*G150*'Service inputs'!$B$17*'Service inputs'!$B$18*'Service inputs'!$B$19+M150*('Service inputs'!$B$20*'Service inputs'!$B$21+'Service inputs'!$B$22)+N150*'Service inputs'!$B$23+F150*(H150*'Service inputs'!$B$28*'Service inputs'!$B$29+I150*'Service inputs'!$B$24*'Service inputs'!$B$25+J150*'Service inputs'!$B$26*'Service inputs'!$B$27+K150*'Service inputs'!$B$30*'Service inputs'!$B$31)</x:f>
        <x:v>56.723063671</x:v>
      </x:c>
      <x:c r="Q150" s="26" t="n">
        <x:f>O150/SUM($O$5:$O$320)*SUMIF(Workload!$A$5:$A$40,"Ecology",Workload!$G$5:$G$40)</x:f>
        <x:v>0</x:v>
      </x:c>
      <x:c r="R150" s="27" t="n">
        <x:f>P150/SUMIF(Workload!$A$5:$A$40,"Grounds",Workload!$G$5:$G$40)*Staffing!$J$5+Q150/SUMIF(Workload!$A$5:$A$40,"Ecology",Workload!$G$5:$G$40)*Staffing!$J$7</x:f>
        <x:v>5764.98376807152</x:v>
      </x:c>
      <x:c r="S150" s="7" t="n">
        <x:v>13</x:v>
      </x:c>
      <x:c r="T150" s="23" t="n">
        <x:v>0.15384615384615385</x:v>
      </x:c>
      <x:c r="U150" s="7" t="n">
        <x:v>0</x:v>
      </x:c>
      <x:c r="V150" s="7" t="n">
        <x:v>0</x:v>
      </x:c>
      <x:c r="W150" s="7" t="str">
        <x:v>https://parks.portlandciviclab.org/parks/kennedy-community-garden-214</x:v>
      </x:c>
    </x:row>
    <x:row r="151" ht="23" customHeight="1">
      <x:c r="A151" s="8" t="str">
        <x:v>1415</x:v>
      </x:c>
      <x:c r="B151" s="8" t="str">
        <x:v>Kenton Community Garden</x:v>
      </x:c>
      <x:c r="C151" s="8" t="str">
        <x:v>community-garden</x:v>
      </x:c>
      <x:c r="D151" s="8" t="str">
        <x:v>District 2</x:v>
      </x:c>
      <x:c r="E151" s="18" t="n">
        <x:v>0.40174569</x:v>
      </x:c>
      <x:c r="F151" s="8" t="n">
        <x:v>1</x:v>
      </x:c>
      <x:c r="G151" s="8" t="n">
        <x:v>0</x:v>
      </x:c>
      <x:c r="H151" s="8" t="n">
        <x:v>0</x:v>
      </x:c>
      <x:c r="I151" s="8" t="n">
        <x:v>0</x:v>
      </x:c>
      <x:c r="J151" s="8" t="n">
        <x:v>0</x:v>
      </x:c>
      <x:c r="K151" s="8" t="n">
        <x:v>0</x:v>
      </x:c>
      <x:c r="L151" s="24" t="n">
        <x:f>F151*'Service inputs'!B67*'Service inputs'!C67</x:f>
        <x:v>52</x:v>
      </x:c>
      <x:c r="M151" s="24" t="n">
        <x:f>F151*E151*'Service inputs'!D67</x:f>
        <x:v>0.0200872845</x:v>
      </x:c>
      <x:c r="N151" s="24" t="n">
        <x:f>F151*E151*'Service inputs'!E67</x:f>
        <x:v>0.040174569</x:v>
      </x:c>
      <x:c r="O151" s="24" t="n">
        <x:f>F151*E151*'Service inputs'!F67</x:f>
        <x:v>0</x:v>
      </x:c>
      <x:c r="P151" s="24" t="n">
        <x:f>L151+F151*G151*'Service inputs'!$B$17*'Service inputs'!$B$18*'Service inputs'!$B$19+M151*('Service inputs'!$B$20*'Service inputs'!$B$21+'Service inputs'!$B$22)+N151*'Service inputs'!$B$23+F151*(H151*'Service inputs'!$B$28*'Service inputs'!$B$29+I151*'Service inputs'!$B$24*'Service inputs'!$B$25+J151*'Service inputs'!$B$26*'Service inputs'!$B$27+K151*'Service inputs'!$B$30*'Service inputs'!$B$31)</x:f>
        <x:v>57.282955823500004</x:v>
      </x:c>
      <x:c r="Q151" s="24" t="n">
        <x:f>O151/SUM($O$5:$O$320)*SUMIF(Workload!$A$5:$A$40,"Ecology",Workload!$G$5:$G$40)</x:f>
        <x:v>0</x:v>
      </x:c>
      <x:c r="R151" s="25" t="n">
        <x:f>P151/SUMIF(Workload!$A$5:$A$40,"Grounds",Workload!$G$5:$G$40)*Staffing!$J$5+Q151/SUMIF(Workload!$A$5:$A$40,"Ecology",Workload!$G$5:$G$40)*Staffing!$J$7</x:f>
        <x:v>5821.8877672940325</x:v>
      </x:c>
      <x:c r="S151" s="8" t="n">
        <x:v>6</x:v>
      </x:c>
      <x:c r="T151" s="22" t="n">
        <x:v>0.16666666666666666</x:v>
      </x:c>
      <x:c r="U151" s="8" t="n">
        <x:v>0</x:v>
      </x:c>
      <x:c r="V151" s="8" t="n">
        <x:v>2</x:v>
      </x:c>
      <x:c r="W151" s="8" t="str">
        <x:v>https://parks.portlandciviclab.org/parks/kenton-community-garden-1415</x:v>
      </x:c>
    </x:row>
    <x:row r="152" ht="23" customHeight="1">
      <x:c r="A152" s="7" t="str">
        <x:v>215</x:v>
      </x:c>
      <x:c r="B152" s="7" t="str">
        <x:v>Kenton Park</x:v>
      </x:c>
      <x:c r="C152" s="7" t="str">
        <x:v>developed-park</x:v>
      </x:c>
      <x:c r="D152" s="7" t="str">
        <x:v>District 2</x:v>
      </x:c>
      <x:c r="E152" s="19" t="n">
        <x:v>12.39881453</x:v>
      </x:c>
      <x:c r="F152" s="7" t="n">
        <x:v>1</x:v>
      </x:c>
      <x:c r="G152" s="7" t="n">
        <x:v>1</x:v>
      </x:c>
      <x:c r="H152" s="7" t="n">
        <x:v>1</x:v>
      </x:c>
      <x:c r="I152" s="7" t="n">
        <x:v>4</x:v>
      </x:c>
      <x:c r="J152" s="7" t="n">
        <x:v>1</x:v>
      </x:c>
      <x:c r="K152" s="7" t="n">
        <x:v>1</x:v>
      </x:c>
      <x:c r="L152" s="26" t="n">
        <x:f>F152*'Service inputs'!B65*'Service inputs'!C65</x:f>
        <x:v>547.5</x:v>
      </x:c>
      <x:c r="M152" s="26" t="n">
        <x:f>F152*E152*'Service inputs'!D65</x:f>
        <x:v>6.8193479915</x:v>
      </x:c>
      <x:c r="N152" s="26" t="n">
        <x:f>F152*E152*'Service inputs'!E65</x:f>
        <x:v>0.6199407265</x:v>
      </x:c>
      <x:c r="O152" s="26" t="n">
        <x:f>F152*E152*'Service inputs'!F65</x:f>
        <x:v>3.0997036325</x:v>
      </x:c>
      <x:c r="P152" s="26" t="n">
        <x:f>L152+F152*G152*'Service inputs'!$B$17*'Service inputs'!$B$18*'Service inputs'!$B$19+M152*('Service inputs'!$B$20*'Service inputs'!$B$21+'Service inputs'!$B$22)+N152*'Service inputs'!$B$23+F152*(H152*'Service inputs'!$B$28*'Service inputs'!$B$29+I152*'Service inputs'!$B$24*'Service inputs'!$B$25+J152*'Service inputs'!$B$26*'Service inputs'!$B$27+K152*'Service inputs'!$B$30*'Service inputs'!$B$31)</x:f>
        <x:v>1625.4878909845002</x:v>
      </x:c>
      <x:c r="Q152" s="26" t="n">
        <x:f>O152/SUM($O$5:$O$320)*SUMIF(Workload!$A$5:$A$40,"Ecology",Workload!$G$5:$G$40)</x:f>
        <x:v>32.53978594717859</x:v>
      </x:c>
      <x:c r="R152" s="27" t="n">
        <x:f>P152/SUMIF(Workload!$A$5:$A$40,"Grounds",Workload!$G$5:$G$40)*Staffing!$J$5+Q152/SUMIF(Workload!$A$5:$A$40,"Ecology",Workload!$G$5:$G$40)*Staffing!$J$7</x:f>
        <x:v>168970.5620304095</x:v>
      </x:c>
      <x:c r="S152" s="7" t="n">
        <x:v>105</x:v>
      </x:c>
      <x:c r="T152" s="23" t="n">
        <x:v>0.12380952380952381</x:v>
      </x:c>
      <x:c r="U152" s="7" t="n">
        <x:v>6</x:v>
      </x:c>
      <x:c r="V152" s="7" t="n">
        <x:v>0</x:v>
      </x:c>
      <x:c r="W152" s="7" t="str">
        <x:v>https://parks.portlandciviclab.org/parks/kenton-park-215</x:v>
      </x:c>
    </x:row>
    <x:row r="153" ht="23" customHeight="1">
      <x:c r="A153" s="8" t="str">
        <x:v>216</x:v>
      </x:c>
      <x:c r="B153" s="8" t="str">
        <x:v>Kern Park</x:v>
      </x:c>
      <x:c r="C153" s="8" t="str">
        <x:v>developed-park</x:v>
      </x:c>
      <x:c r="D153" s="8" t="str">
        <x:v>District 3</x:v>
      </x:c>
      <x:c r="E153" s="18" t="n">
        <x:v>1.62426934</x:v>
      </x:c>
      <x:c r="F153" s="8" t="n">
        <x:v>1</x:v>
      </x:c>
      <x:c r="G153" s="8" t="n">
        <x:v>0</x:v>
      </x:c>
      <x:c r="H153" s="8" t="n">
        <x:v>1</x:v>
      </x:c>
      <x:c r="I153" s="8" t="n">
        <x:v>1</x:v>
      </x:c>
      <x:c r="J153" s="8" t="n">
        <x:v>1</x:v>
      </x:c>
      <x:c r="K153" s="8" t="n">
        <x:v>0</x:v>
      </x:c>
      <x:c r="L153" s="24" t="n">
        <x:f>F153*'Service inputs'!B65*'Service inputs'!C65</x:f>
        <x:v>547.5</x:v>
      </x:c>
      <x:c r="M153" s="24" t="n">
        <x:f>F153*E153*'Service inputs'!D65</x:f>
        <x:v>0.893348137</x:v>
      </x:c>
      <x:c r="N153" s="24" t="n">
        <x:f>F153*E153*'Service inputs'!E65</x:f>
        <x:v>0.081213467</x:v>
      </x:c>
      <x:c r="O153" s="24" t="n">
        <x:f>F153*E153*'Service inputs'!F65</x:f>
        <x:v>0.406067335</x:v>
      </x:c>
      <x:c r="P153" s="24" t="n">
        <x:f>L153+F153*G153*'Service inputs'!$B$17*'Service inputs'!$B$18*'Service inputs'!$B$19+M153*('Service inputs'!$B$20*'Service inputs'!$B$21+'Service inputs'!$B$22)+N153*'Service inputs'!$B$23+F153*(H153*'Service inputs'!$B$28*'Service inputs'!$B$29+I153*'Service inputs'!$B$24*'Service inputs'!$B$25+J153*'Service inputs'!$B$26*'Service inputs'!$B$27+K153*'Service inputs'!$B$30*'Service inputs'!$B$31)</x:f>
        <x:v>739.792623191</x:v>
      </x:c>
      <x:c r="Q153" s="24" t="n">
        <x:f>O153/SUM($O$5:$O$320)*SUMIF(Workload!$A$5:$A$40,"Ecology",Workload!$G$5:$G$40)</x:f>
        <x:v>4.262776615964514</x:v>
      </x:c>
      <x:c r="R153" s="25" t="n">
        <x:f>P153/SUMIF(Workload!$A$5:$A$40,"Grounds",Workload!$G$5:$G$40)*Staffing!$J$5+Q153/SUMIF(Workload!$A$5:$A$40,"Ecology",Workload!$G$5:$G$40)*Staffing!$J$7</x:f>
        <x:v>75681.32592194791</x:v>
      </x:c>
      <x:c r="S153" s="8" t="n">
        <x:v>33</x:v>
      </x:c>
      <x:c r="T153" s="22" t="n">
        <x:v>0.24242424242424243</x:v>
      </x:c>
      <x:c r="U153" s="8" t="n">
        <x:v>1</x:v>
      </x:c>
      <x:c r="V153" s="8" t="n">
        <x:v>0</x:v>
      </x:c>
      <x:c r="W153" s="8" t="str">
        <x:v>https://parks.portlandciviclab.org/parks/kern-park-216</x:v>
      </x:c>
    </x:row>
    <x:row r="154" ht="23" customHeight="1">
      <x:c r="A154" s="7" t="str">
        <x:v>901</x:v>
      </x:c>
      <x:c r="B154" s="7" t="str">
        <x:v>Kerr Site</x:v>
      </x:c>
      <x:c r="C154" s="7" t="str">
        <x:v>natural-area</x:v>
      </x:c>
      <x:c r="D154" s="7" t="str">
        <x:v>District 4</x:v>
      </x:c>
      <x:c r="E154" s="19" t="n">
        <x:v>9.99885108</x:v>
      </x:c>
      <x:c r="F154" s="7" t="n">
        <x:v>1</x:v>
      </x:c>
      <x:c r="G154" s="7" t="n">
        <x:v>0</x:v>
      </x:c>
      <x:c r="H154" s="7" t="n">
        <x:v>0</x:v>
      </x:c>
      <x:c r="I154" s="7" t="n">
        <x:v>0</x:v>
      </x:c>
      <x:c r="J154" s="7" t="n">
        <x:v>0</x:v>
      </x:c>
      <x:c r="K154" s="7" t="n">
        <x:v>0</x:v>
      </x:c>
      <x:c r="L154" s="26" t="n">
        <x:f>F154*'Service inputs'!B66*'Service inputs'!C66</x:f>
        <x:v>78</x:v>
      </x:c>
      <x:c r="M154" s="26" t="n">
        <x:f>F154*E154*'Service inputs'!D66</x:f>
        <x:v>0.0499942554</x:v>
      </x:c>
      <x:c r="N154" s="26" t="n">
        <x:f>F154*E154*'Service inputs'!E66</x:f>
        <x:v>0</x:v>
      </x:c>
      <x:c r="O154" s="26" t="n">
        <x:f>F154*E154*'Service inputs'!F66</x:f>
        <x:v>9.8988625692</x:v>
      </x:c>
      <x:c r="P154" s="26" t="n">
        <x:f>L154+F154*G154*'Service inputs'!$B$17*'Service inputs'!$B$18*'Service inputs'!$B$19+M154*('Service inputs'!$B$20*'Service inputs'!$B$21+'Service inputs'!$B$22)+N154*'Service inputs'!$B$23+F154*(H154*'Service inputs'!$B$28*'Service inputs'!$B$29+I154*'Service inputs'!$B$24*'Service inputs'!$B$25+J154*'Service inputs'!$B$26*'Service inputs'!$B$27+K154*'Service inputs'!$B$30*'Service inputs'!$B$31)</x:f>
        <x:v>79.1498678742</x:v>
      </x:c>
      <x:c r="Q154" s="26" t="n">
        <x:f>O154/SUM($O$5:$O$320)*SUMIF(Workload!$A$5:$A$40,"Ecology",Workload!$G$5:$G$40)</x:f>
        <x:v>103.91537621373108</x:v>
      </x:c>
      <x:c r="R154" s="27" t="n">
        <x:f>P154/SUMIF(Workload!$A$5:$A$40,"Grounds",Workload!$G$5:$G$40)*Staffing!$J$5+Q154/SUMIF(Workload!$A$5:$A$40,"Ecology",Workload!$G$5:$G$40)*Staffing!$J$7</x:f>
        <x:v>20070.841583503177</x:v>
      </x:c>
      <x:c r="S154" s="7" t="n">
        <x:v>0</x:v>
      </x:c>
      <x:c r="T154" s="23" t="n">
        <x:v>0</x:v>
      </x:c>
      <x:c r="U154" s="7" t="n">
        <x:v>0</x:v>
      </x:c>
      <x:c r="V154" s="7" t="n">
        <x:v>0</x:v>
      </x:c>
      <x:c r="W154" s="7" t="str">
        <x:v>https://parks.portlandciviclab.org/parks/kerr-site-901</x:v>
      </x:c>
    </x:row>
    <x:row r="155" ht="23" customHeight="1">
      <x:c r="A155" s="8" t="str">
        <x:v>1384</x:v>
      </x:c>
      <x:c r="B155" s="8" t="str">
        <x:v>Khunamokwst Park</x:v>
      </x:c>
      <x:c r="C155" s="8" t="str">
        <x:v>developed-park</x:v>
      </x:c>
      <x:c r="D155" s="8" t="str">
        <x:v>District 2</x:v>
      </x:c>
      <x:c r="E155" s="18" t="n">
        <x:v>2.43282935</x:v>
      </x:c>
      <x:c r="F155" s="8" t="n">
        <x:v>1</x:v>
      </x:c>
      <x:c r="G155" s="8" t="n">
        <x:v>1</x:v>
      </x:c>
      <x:c r="H155" s="8" t="n">
        <x:v>1</x:v>
      </x:c>
      <x:c r="I155" s="8" t="n">
        <x:v>0</x:v>
      </x:c>
      <x:c r="J155" s="8" t="n">
        <x:v>0</x:v>
      </x:c>
      <x:c r="K155" s="8" t="n">
        <x:v>1</x:v>
      </x:c>
      <x:c r="L155" s="24" t="n">
        <x:f>F155*'Service inputs'!B65*'Service inputs'!C65</x:f>
        <x:v>547.5</x:v>
      </x:c>
      <x:c r="M155" s="24" t="n">
        <x:f>F155*E155*'Service inputs'!D65</x:f>
        <x:v>1.3380561425000002</x:v>
      </x:c>
      <x:c r="N155" s="24" t="n">
        <x:f>F155*E155*'Service inputs'!E65</x:f>
        <x:v>0.1216414675</x:v>
      </x:c>
      <x:c r="O155" s="24" t="n">
        <x:f>F155*E155*'Service inputs'!F65</x:f>
        <x:v>0.6082073375</x:v>
      </x:c>
      <x:c r="P155" s="24" t="n">
        <x:f>L155+F155*G155*'Service inputs'!$B$17*'Service inputs'!$B$18*'Service inputs'!$B$19+M155*('Service inputs'!$B$20*'Service inputs'!$B$21+'Service inputs'!$B$22)+N155*'Service inputs'!$B$23+F155*(H155*'Service inputs'!$B$28*'Service inputs'!$B$29+I155*'Service inputs'!$B$24*'Service inputs'!$B$25+J155*'Service inputs'!$B$26*'Service inputs'!$B$27+K155*'Service inputs'!$B$30*'Service inputs'!$B$31)</x:f>
        <x:v>1001.6222673775</x:v>
      </x:c>
      <x:c r="Q155" s="24" t="n">
        <x:f>O155/SUM($O$5:$O$320)*SUMIF(Workload!$A$5:$A$40,"Ecology",Workload!$G$5:$G$40)</x:f>
        <x:v>6.3847834890561606</x:v>
      </x:c>
      <x:c r="R155" s="25" t="n">
        <x:f>P155/SUMIF(Workload!$A$5:$A$40,"Grounds",Workload!$G$5:$G$40)*Staffing!$J$5+Q155/SUMIF(Workload!$A$5:$A$40,"Ecology",Workload!$G$5:$G$40)*Staffing!$J$7</x:f>
        <x:v>102537.6708604862</x:v>
      </x:c>
      <x:c r="S155" s="8" t="n">
        <x:v>57</x:v>
      </x:c>
      <x:c r="T155" s="22" t="n">
        <x:v>0.017543859649122806</x:v>
      </x:c>
      <x:c r="U155" s="8" t="n">
        <x:v>0</x:v>
      </x:c>
      <x:c r="V155" s="8" t="n">
        <x:v>0</x:v>
      </x:c>
      <x:c r="W155" s="8" t="str">
        <x:v>https://parks.portlandciviclab.org/parks/khunamokwst-park-1384</x:v>
      </x:c>
    </x:row>
    <x:row r="156" ht="23" customHeight="1">
      <x:c r="A156" s="7" t="str">
        <x:v>1201</x:v>
      </x:c>
      <x:c r="B156" s="7" t="str">
        <x:v>Kimmel Property</x:v>
      </x:c>
      <x:c r="C156" s="7" t="str">
        <x:v>natural-area</x:v>
      </x:c>
      <x:c r="D156" s="7" t="str">
        <x:v>District 1</x:v>
      </x:c>
      <x:c r="E156" s="19" t="n">
        <x:v>0.25108698</x:v>
      </x:c>
      <x:c r="F156" s="7" t="n">
        <x:v>1</x:v>
      </x:c>
      <x:c r="G156" s="7" t="n">
        <x:v>0</x:v>
      </x:c>
      <x:c r="H156" s="7" t="n">
        <x:v>0</x:v>
      </x:c>
      <x:c r="I156" s="7" t="n">
        <x:v>0</x:v>
      </x:c>
      <x:c r="J156" s="7" t="n">
        <x:v>0</x:v>
      </x:c>
      <x:c r="K156" s="7" t="n">
        <x:v>0</x:v>
      </x:c>
      <x:c r="L156" s="26" t="n">
        <x:f>F156*'Service inputs'!B66*'Service inputs'!C66</x:f>
        <x:v>78</x:v>
      </x:c>
      <x:c r="M156" s="26" t="n">
        <x:f>F156*E156*'Service inputs'!D66</x:f>
        <x:v>0.0012554349</x:v>
      </x:c>
      <x:c r="N156" s="26" t="n">
        <x:f>F156*E156*'Service inputs'!E66</x:f>
        <x:v>0</x:v>
      </x:c>
      <x:c r="O156" s="26" t="n">
        <x:f>F156*E156*'Service inputs'!F66</x:f>
        <x:v>0.2485761102</x:v>
      </x:c>
      <x:c r="P156" s="26" t="n">
        <x:f>L156+F156*G156*'Service inputs'!$B$17*'Service inputs'!$B$18*'Service inputs'!$B$19+M156*('Service inputs'!$B$20*'Service inputs'!$B$21+'Service inputs'!$B$22)+N156*'Service inputs'!$B$23+F156*(H156*'Service inputs'!$B$28*'Service inputs'!$B$29+I156*'Service inputs'!$B$24*'Service inputs'!$B$25+J156*'Service inputs'!$B$26*'Service inputs'!$B$27+K156*'Service inputs'!$B$30*'Service inputs'!$B$31)</x:f>
        <x:v>78.0288750027</x:v>
      </x:c>
      <x:c r="Q156" s="26" t="n">
        <x:f>O156/SUM($O$5:$O$320)*SUMIF(Workload!$A$5:$A$40,"Ecology",Workload!$G$5:$G$40)</x:f>
        <x:v>2.6094796072379918</x:v>
      </x:c>
      <x:c r="R156" s="27" t="n">
        <x:f>P156/SUMIF(Workload!$A$5:$A$40,"Grounds",Workload!$G$5:$G$40)*Staffing!$J$5+Q156/SUMIF(Workload!$A$5:$A$40,"Ecology",Workload!$G$5:$G$40)*Staffing!$J$7</x:f>
        <x:v>8232.380898278236</x:v>
      </x:c>
      <x:c r="S156" s="7" t="n">
        <x:v>0</x:v>
      </x:c>
      <x:c r="T156" s="23" t="n">
        <x:v>0</x:v>
      </x:c>
      <x:c r="U156" s="7" t="n">
        <x:v>0</x:v>
      </x:c>
      <x:c r="V156" s="7" t="n">
        <x:v>0</x:v>
      </x:c>
      <x:c r="W156" s="7" t="str">
        <x:v>https://parks.portlandciviclab.org/parks/kimmel-property-1201</x:v>
      </x:c>
    </x:row>
    <x:row r="157" ht="23" customHeight="1">
      <x:c r="A157" s="8" t="str">
        <x:v>218</x:v>
      </x:c>
      <x:c r="B157" s="8" t="str">
        <x:v>Kingsley D Bundy Property</x:v>
      </x:c>
      <x:c r="C157" s="8" t="str">
        <x:v>natural-area</x:v>
      </x:c>
      <x:c r="D157" s="8" t="str">
        <x:v>District 1</x:v>
      </x:c>
      <x:c r="E157" s="18" t="n">
        <x:v>6.98832988</x:v>
      </x:c>
      <x:c r="F157" s="8" t="n">
        <x:v>1</x:v>
      </x:c>
      <x:c r="G157" s="8" t="n">
        <x:v>0</x:v>
      </x:c>
      <x:c r="H157" s="8" t="n">
        <x:v>0</x:v>
      </x:c>
      <x:c r="I157" s="8" t="n">
        <x:v>0</x:v>
      </x:c>
      <x:c r="J157" s="8" t="n">
        <x:v>0</x:v>
      </x:c>
      <x:c r="K157" s="8" t="n">
        <x:v>0</x:v>
      </x:c>
      <x:c r="L157" s="24" t="n">
        <x:f>F157*'Service inputs'!B66*'Service inputs'!C66</x:f>
        <x:v>78</x:v>
      </x:c>
      <x:c r="M157" s="24" t="n">
        <x:f>F157*E157*'Service inputs'!D66</x:f>
        <x:v>0.034941649400000004</x:v>
      </x:c>
      <x:c r="N157" s="24" t="n">
        <x:f>F157*E157*'Service inputs'!E66</x:f>
        <x:v>0</x:v>
      </x:c>
      <x:c r="O157" s="24" t="n">
        <x:f>F157*E157*'Service inputs'!F66</x:f>
        <x:v>6.9184465812000004</x:v>
      </x:c>
      <x:c r="P157" s="24" t="n">
        <x:f>L157+F157*G157*'Service inputs'!$B$17*'Service inputs'!$B$18*'Service inputs'!$B$19+M157*('Service inputs'!$B$20*'Service inputs'!$B$21+'Service inputs'!$B$22)+N157*'Service inputs'!$B$23+F157*(H157*'Service inputs'!$B$28*'Service inputs'!$B$29+I157*'Service inputs'!$B$24*'Service inputs'!$B$25+J157*'Service inputs'!$B$26*'Service inputs'!$B$27+K157*'Service inputs'!$B$30*'Service inputs'!$B$31)</x:f>
        <x:v>78.8036579362</x:v>
      </x:c>
      <x:c r="Q157" s="24" t="n">
        <x:f>O157/SUM($O$5:$O$320)*SUMIF(Workload!$A$5:$A$40,"Ecology",Workload!$G$5:$G$40)</x:f>
        <x:v>72.62783721605925</x:v>
      </x:c>
      <x:c r="R157" s="25" t="n">
        <x:f>P157/SUMIF(Workload!$A$5:$A$40,"Grounds",Workload!$G$5:$G$40)*Staffing!$J$5+Q157/SUMIF(Workload!$A$5:$A$40,"Ecology",Workload!$G$5:$G$40)*Staffing!$J$7</x:f>
        <x:v>16414.624988331754</x:v>
      </x:c>
      <x:c r="S157" s="8" t="n">
        <x:v>0</x:v>
      </x:c>
      <x:c r="T157" s="22" t="n">
        <x:v>0</x:v>
      </x:c>
      <x:c r="U157" s="8" t="n">
        <x:v>0</x:v>
      </x:c>
      <x:c r="V157" s="8" t="n">
        <x:v>0</x:v>
      </x:c>
      <x:c r="W157" s="8" t="str">
        <x:v>https://parks.portlandciviclab.org/parks/kingsley-d-bundy-property-218</x:v>
      </x:c>
    </x:row>
    <x:row r="158" ht="23" customHeight="1">
      <x:c r="A158" s="7" t="str">
        <x:v>219</x:v>
      </x:c>
      <x:c r="B158" s="7" t="str">
        <x:v>Kingsley Park</x:v>
      </x:c>
      <x:c r="C158" s="7" t="str">
        <x:v>uncertain</x:v>
      </x:c>
      <x:c r="D158" s="7" t="str">
        <x:v>District 4</x:v>
      </x:c>
      <x:c r="E158" s="19" t="n">
        <x:v>1.13233903</x:v>
      </x:c>
      <x:c r="F158" s="7" t="n">
        <x:v>1</x:v>
      </x:c>
      <x:c r="G158" s="7" t="n">
        <x:v>0</x:v>
      </x:c>
      <x:c r="H158" s="7" t="n">
        <x:v>0</x:v>
      </x:c>
      <x:c r="I158" s="7" t="n">
        <x:v>0</x:v>
      </x:c>
      <x:c r="J158" s="7" t="n">
        <x:v>0</x:v>
      </x:c>
      <x:c r="K158" s="7" t="n">
        <x:v>0</x:v>
      </x:c>
      <x:c r="L158" s="26" t="n">
        <x:f>F158*'Service inputs'!B74*'Service inputs'!C74</x:f>
        <x:v>52</x:v>
      </x:c>
      <x:c r="M158" s="26" t="n">
        <x:f>F158*E158*'Service inputs'!D74</x:f>
        <x:v>0.11323390300000001</x:v>
      </x:c>
      <x:c r="N158" s="26" t="n">
        <x:f>F158*E158*'Service inputs'!E74</x:f>
        <x:v>0.0226467806</x:v>
      </x:c>
      <x:c r="O158" s="26" t="n">
        <x:f>F158*E158*'Service inputs'!F74</x:f>
        <x:v>0.566169515</x:v>
      </x:c>
      <x:c r="P158" s="26" t="n">
        <x:f>L158+F158*G158*'Service inputs'!$B$17*'Service inputs'!$B$18*'Service inputs'!$B$19+M158*('Service inputs'!$B$20*'Service inputs'!$B$21+'Service inputs'!$B$22)+N158*'Service inputs'!$B$23+F158*(H158*'Service inputs'!$B$28*'Service inputs'!$B$29+I158*'Service inputs'!$B$24*'Service inputs'!$B$25+J158*'Service inputs'!$B$26*'Service inputs'!$B$27+K158*'Service inputs'!$B$30*'Service inputs'!$B$31)</x:f>
        <x:v>57.321993441</x:v>
      </x:c>
      <x:c r="Q158" s="26" t="n">
        <x:f>O158/SUM($O$5:$O$320)*SUMIF(Workload!$A$5:$A$40,"Ecology",Workload!$G$5:$G$40)</x:f>
        <x:v>5.943482671941515</x:v>
      </x:c>
      <x:c r="R158" s="27" t="n">
        <x:f>P158/SUMIF(Workload!$A$5:$A$40,"Grounds",Workload!$G$5:$G$40)*Staffing!$J$5+Q158/SUMIF(Workload!$A$5:$A$40,"Ecology",Workload!$G$5:$G$40)*Staffing!$J$7</x:f>
        <x:v>6513.7179365896845</x:v>
      </x:c>
      <x:c r="S158" s="7" t="n">
        <x:v>2</x:v>
      </x:c>
      <x:c r="T158" s="23" t="n">
        <x:v>0</x:v>
      </x:c>
      <x:c r="U158" s="7" t="n">
        <x:v>0</x:v>
      </x:c>
      <x:c r="V158" s="7" t="n">
        <x:v>0</x:v>
      </x:c>
      <x:c r="W158" s="7" t="str">
        <x:v>https://parks.portlandciviclab.org/parks/kingsley-park-219</x:v>
      </x:c>
    </x:row>
    <x:row r="159" ht="23" customHeight="1">
      <x:c r="A159" s="8" t="str">
        <x:v>220</x:v>
      </x:c>
      <x:c r="B159" s="8" t="str">
        <x:v>Knott Park</x:v>
      </x:c>
      <x:c r="C159" s="8" t="str">
        <x:v>developed-park</x:v>
      </x:c>
      <x:c r="D159" s="8" t="str">
        <x:v>District 1</x:v>
      </x:c>
      <x:c r="E159" s="18" t="n">
        <x:v>12.74197848</x:v>
      </x:c>
      <x:c r="F159" s="8" t="n">
        <x:v>1</x:v>
      </x:c>
      <x:c r="G159" s="8" t="n">
        <x:v>2</x:v>
      </x:c>
      <x:c r="H159" s="8" t="n">
        <x:v>1</x:v>
      </x:c>
      <x:c r="I159" s="8" t="n">
        <x:v>4</x:v>
      </x:c>
      <x:c r="J159" s="8" t="n">
        <x:v>0</x:v>
      </x:c>
      <x:c r="K159" s="8" t="n">
        <x:v>0</x:v>
      </x:c>
      <x:c r="L159" s="24" t="n">
        <x:f>F159*'Service inputs'!B65*'Service inputs'!C65</x:f>
        <x:v>547.5</x:v>
      </x:c>
      <x:c r="M159" s="24" t="n">
        <x:f>F159*E159*'Service inputs'!D65</x:f>
        <x:v>7.008088164000001</x:v>
      </x:c>
      <x:c r="N159" s="24" t="n">
        <x:f>F159*E159*'Service inputs'!E65</x:f>
        <x:v>0.637098924</x:v>
      </x:c>
      <x:c r="O159" s="24" t="n">
        <x:f>F159*E159*'Service inputs'!F65</x:f>
        <x:v>3.18549462</x:v>
      </x:c>
      <x:c r="P159" s="24" t="n">
        <x:f>L159+F159*G159*'Service inputs'!$B$17*'Service inputs'!$B$18*'Service inputs'!$B$19+M159*('Service inputs'!$B$20*'Service inputs'!$B$21+'Service inputs'!$B$22)+N159*'Service inputs'!$B$23+F159*(H159*'Service inputs'!$B$28*'Service inputs'!$B$29+I159*'Service inputs'!$B$24*'Service inputs'!$B$25+J159*'Service inputs'!$B$26*'Service inputs'!$B$27+K159*'Service inputs'!$B$30*'Service inputs'!$B$31)</x:f>
        <x:v>1887.6378986519999</x:v>
      </x:c>
      <x:c r="Q159" s="24" t="n">
        <x:f>O159/SUM($O$5:$O$320)*SUMIF(Workload!$A$5:$A$40,"Ecology",Workload!$G$5:$G$40)</x:f>
        <x:v>33.44039474738042</x:v>
      </x:c>
      <x:c r="R159" s="25" t="n">
        <x:f>P159/SUMIF(Workload!$A$5:$A$40,"Grounds",Workload!$G$5:$G$40)*Staffing!$J$5+Q159/SUMIF(Workload!$A$5:$A$40,"Ecology",Workload!$G$5:$G$40)*Staffing!$J$7</x:f>
        <x:v>195718.1095425163</x:v>
      </x:c>
      <x:c r="S159" s="8" t="n">
        <x:v>137</x:v>
      </x:c>
      <x:c r="T159" s="22" t="n">
        <x:v>0.29927007299270075</x:v>
      </x:c>
      <x:c r="U159" s="8" t="n">
        <x:v>6</x:v>
      </x:c>
      <x:c r="V159" s="8" t="n">
        <x:v>0</x:v>
      </x:c>
      <x:c r="W159" s="8" t="str">
        <x:v>https://parks.portlandciviclab.org/parks/knott-park-220</x:v>
      </x:c>
    </x:row>
    <x:row r="160" ht="23" customHeight="1">
      <x:c r="A160" s="7" t="str">
        <x:v>221</x:v>
      </x:c>
      <x:c r="B160" s="7" t="str">
        <x:v>Ladds Circle and Squares</x:v>
      </x:c>
      <x:c r="C160" s="7" t="str">
        <x:v>plaza-memorial</x:v>
      </x:c>
      <x:c r="D160" s="7" t="str">
        <x:v>District 3</x:v>
      </x:c>
      <x:c r="E160" s="19" t="n">
        <x:v>2.69735282</x:v>
      </x:c>
      <x:c r="F160" s="7" t="n">
        <x:v>1</x:v>
      </x:c>
      <x:c r="G160" s="7" t="n">
        <x:v>0</x:v>
      </x:c>
      <x:c r="H160" s="7" t="n">
        <x:v>0</x:v>
      </x:c>
      <x:c r="I160" s="7" t="n">
        <x:v>0</x:v>
      </x:c>
      <x:c r="J160" s="7" t="n">
        <x:v>0</x:v>
      </x:c>
      <x:c r="K160" s="7" t="n">
        <x:v>0</x:v>
      </x:c>
      <x:c r="L160" s="26" t="n">
        <x:f>F160*'Service inputs'!B68*'Service inputs'!C68</x:f>
        <x:v>730</x:v>
      </x:c>
      <x:c r="M160" s="26" t="n">
        <x:f>F160*E160*'Service inputs'!D68</x:f>
        <x:v>0</x:v>
      </x:c>
      <x:c r="N160" s="26" t="n">
        <x:f>F160*E160*'Service inputs'!E68</x:f>
        <x:v>0.269735282</x:v>
      </x:c>
      <x:c r="O160" s="26" t="n">
        <x:f>F160*E160*'Service inputs'!F68</x:f>
        <x:v>0</x:v>
      </x:c>
      <x:c r="P160" s="26" t="n">
        <x:f>L160+F160*G160*'Service inputs'!$B$17*'Service inputs'!$B$18*'Service inputs'!$B$19+M160*('Service inputs'!$B$20*'Service inputs'!$B$21+'Service inputs'!$B$22)+N160*'Service inputs'!$B$23+F160*(H160*'Service inputs'!$B$28*'Service inputs'!$B$29+I160*'Service inputs'!$B$24*'Service inputs'!$B$25+J160*'Service inputs'!$B$26*'Service inputs'!$B$27+K160*'Service inputs'!$B$30*'Service inputs'!$B$31)</x:f>
        <x:v>762.36823384</x:v>
      </x:c>
      <x:c r="Q160" s="26" t="n">
        <x:f>O160/SUM($O$5:$O$320)*SUMIF(Workload!$A$5:$A$40,"Ecology",Workload!$G$5:$G$40)</x:f>
        <x:v>0</x:v>
      </x:c>
      <x:c r="R160" s="27" t="n">
        <x:f>P160/SUMIF(Workload!$A$5:$A$40,"Grounds",Workload!$G$5:$G$40)*Staffing!$J$5+Q160/SUMIF(Workload!$A$5:$A$40,"Ecology",Workload!$G$5:$G$40)*Staffing!$J$7</x:f>
        <x:v>77482.42441333336</x:v>
      </x:c>
      <x:c r="S160" s="7" t="n">
        <x:v>17</x:v>
      </x:c>
      <x:c r="T160" s="23" t="n">
        <x:v>0.058823529411764705</x:v>
      </x:c>
      <x:c r="U160" s="7" t="n">
        <x:v>1</x:v>
      </x:c>
      <x:c r="V160" s="7" t="n">
        <x:v>1</x:v>
      </x:c>
      <x:c r="W160" s="7" t="str">
        <x:v>https://parks.portlandciviclab.org/parks/ladds-circle-and-squares-221</x:v>
      </x:c>
    </x:row>
    <x:row r="161" ht="23" customHeight="1">
      <x:c r="A161" s="8" t="str">
        <x:v>222</x:v>
      </x:c>
      <x:c r="B161" s="8" t="str">
        <x:v>Lair Hill Park</x:v>
      </x:c>
      <x:c r="C161" s="8" t="str">
        <x:v>developed-park</x:v>
      </x:c>
      <x:c r="D161" s="8" t="str">
        <x:v>District 4</x:v>
      </x:c>
      <x:c r="E161" s="18" t="n">
        <x:v>3.26196067</x:v>
      </x:c>
      <x:c r="F161" s="8" t="n">
        <x:v>1</x:v>
      </x:c>
      <x:c r="G161" s="8" t="n">
        <x:v>0</x:v>
      </x:c>
      <x:c r="H161" s="8" t="n">
        <x:v>1</x:v>
      </x:c>
      <x:c r="I161" s="8" t="n">
        <x:v>0</x:v>
      </x:c>
      <x:c r="J161" s="8" t="n">
        <x:v>1</x:v>
      </x:c>
      <x:c r="K161" s="8" t="n">
        <x:v>0</x:v>
      </x:c>
      <x:c r="L161" s="24" t="n">
        <x:f>F161*'Service inputs'!B65*'Service inputs'!C65</x:f>
        <x:v>547.5</x:v>
      </x:c>
      <x:c r="M161" s="24" t="n">
        <x:f>F161*E161*'Service inputs'!D65</x:f>
        <x:v>1.7940783685000001</x:v>
      </x:c>
      <x:c r="N161" s="24" t="n">
        <x:f>F161*E161*'Service inputs'!E65</x:f>
        <x:v>0.16309803350000002</x:v>
      </x:c>
      <x:c r="O161" s="24" t="n">
        <x:f>F161*E161*'Service inputs'!F65</x:f>
        <x:v>0.8154901675</x:v>
      </x:c>
      <x:c r="P161" s="24" t="n">
        <x:f>L161+F161*G161*'Service inputs'!$B$17*'Service inputs'!$B$18*'Service inputs'!$B$19+M161*('Service inputs'!$B$20*'Service inputs'!$B$21+'Service inputs'!$B$22)+N161*'Service inputs'!$B$23+F161*(H161*'Service inputs'!$B$28*'Service inputs'!$B$29+I161*'Service inputs'!$B$24*'Service inputs'!$B$25+J161*'Service inputs'!$B$26*'Service inputs'!$B$27+K161*'Service inputs'!$B$30*'Service inputs'!$B$31)</x:f>
        <x:v>665.3355664955001</x:v>
      </x:c>
      <x:c r="Q161" s="24" t="n">
        <x:f>O161/SUM($O$5:$O$320)*SUMIF(Workload!$A$5:$A$40,"Ecology",Workload!$G$5:$G$40)</x:f>
        <x:v>8.560778267397412</x:v>
      </x:c>
      <x:c r="R161" s="25" t="n">
        <x:f>P161/SUMIF(Workload!$A$5:$A$40,"Grounds",Workload!$G$5:$G$40)*Staffing!$J$5+Q161/SUMIF(Workload!$A$5:$A$40,"Ecology",Workload!$G$5:$G$40)*Staffing!$J$7</x:f>
        <x:v>68611.39266993219</x:v>
      </x:c>
      <x:c r="S161" s="8" t="n">
        <x:v>46</x:v>
      </x:c>
      <x:c r="T161" s="22" t="n">
        <x:v>0.32608695652173914</x:v>
      </x:c>
      <x:c r="U161" s="8" t="n">
        <x:v>0</x:v>
      </x:c>
      <x:c r="V161" s="8" t="n">
        <x:v>0</x:v>
      </x:c>
      <x:c r="W161" s="8" t="str">
        <x:v>https://parks.portlandciviclab.org/parks/lair-hill-park-222</x:v>
      </x:c>
    </x:row>
    <x:row r="162" ht="23" customHeight="1">
      <x:c r="A162" s="7" t="str">
        <x:v>8</x:v>
      </x:c>
      <x:c r="B162" s="7" t="str">
        <x:v>Lan Su Chinese Garden</x:v>
      </x:c>
      <x:c r="C162" s="7" t="str">
        <x:v>garden</x:v>
      </x:c>
      <x:c r="D162" s="7" t="str">
        <x:v>District 4</x:v>
      </x:c>
      <x:c r="E162" s="19" t="n">
        <x:v>1.02961546</x:v>
      </x:c>
      <x:c r="F162" s="7" t="n">
        <x:v>1</x:v>
      </x:c>
      <x:c r="G162" s="7" t="n">
        <x:v>0</x:v>
      </x:c>
      <x:c r="H162" s="7" t="n">
        <x:v>0</x:v>
      </x:c>
      <x:c r="I162" s="7" t="n">
        <x:v>0</x:v>
      </x:c>
      <x:c r="J162" s="7" t="n">
        <x:v>0</x:v>
      </x:c>
      <x:c r="K162" s="7" t="n">
        <x:v>0</x:v>
      </x:c>
      <x:c r="L162" s="26" t="n">
        <x:f>F162*'Service inputs'!B71*'Service inputs'!C71</x:f>
        <x:v>547.5</x:v>
      </x:c>
      <x:c r="M162" s="26" t="n">
        <x:f>F162*E162*'Service inputs'!D71</x:f>
        <x:v>0.257403865</x:v>
      </x:c>
      <x:c r="N162" s="26" t="n">
        <x:f>F162*E162*'Service inputs'!E71</x:f>
        <x:v>0.41184618400000006</x:v>
      </x:c>
      <x:c r="O162" s="26" t="n">
        <x:f>F162*E162*'Service inputs'!F71</x:f>
        <x:v>0.257403865</x:v>
      </x:c>
      <x:c r="P162" s="26" t="n">
        <x:f>L162+F162*G162*'Service inputs'!$B$17*'Service inputs'!$B$18*'Service inputs'!$B$19+M162*('Service inputs'!$B$20*'Service inputs'!$B$21+'Service inputs'!$B$22)+N162*'Service inputs'!$B$23+F162*(H162*'Service inputs'!$B$28*'Service inputs'!$B$29+I162*'Service inputs'!$B$24*'Service inputs'!$B$25+J162*'Service inputs'!$B$26*'Service inputs'!$B$27+K162*'Service inputs'!$B$30*'Service inputs'!$B$31)</x:f>
        <x:v>602.841830975</x:v>
      </x:c>
      <x:c r="Q162" s="26" t="n">
        <x:f>O162/SUM($O$5:$O$320)*SUMIF(Workload!$A$5:$A$40,"Ecology",Workload!$G$5:$G$40)</x:f>
        <x:v>2.7021508060501507</x:v>
      </x:c>
      <x:c r="R162" s="27" t="n">
        <x:f>P162/SUMIF(Workload!$A$5:$A$40,"Grounds",Workload!$G$5:$G$40)*Staffing!$J$5+Q162/SUMIF(Workload!$A$5:$A$40,"Ecology",Workload!$G$5:$G$40)*Staffing!$J$7</x:f>
        <x:v>61581.87126325487</x:v>
      </x:c>
      <x:c r="S162" s="7" t="n">
        <x:v>13</x:v>
      </x:c>
      <x:c r="T162" s="23" t="n">
        <x:v>0.6923076923076923</x:v>
      </x:c>
      <x:c r="U162" s="7" t="n">
        <x:v>0</x:v>
      </x:c>
      <x:c r="V162" s="7" t="n">
        <x:v>0</x:v>
      </x:c>
      <x:c r="W162" s="7" t="str">
        <x:v>https://parks.portlandciviclab.org/parks/lan-su-chinese-garden-8</x:v>
      </x:c>
    </x:row>
    <x:row r="163" ht="23" customHeight="1">
      <x:c r="A163" s="8" t="str">
        <x:v>224</x:v>
      </x:c>
      <x:c r="B163" s="8" t="str">
        <x:v>Laurelhurst Park</x:v>
      </x:c>
      <x:c r="C163" s="8" t="str">
        <x:v>developed-park</x:v>
      </x:c>
      <x:c r="D163" s="8" t="str">
        <x:v>District 3</x:v>
      </x:c>
      <x:c r="E163" s="18" t="n">
        <x:v>33.16390754</x:v>
      </x:c>
      <x:c r="F163" s="8" t="n">
        <x:v>1</x:v>
      </x:c>
      <x:c r="G163" s="8" t="n">
        <x:v>0</x:v>
      </x:c>
      <x:c r="H163" s="8" t="n">
        <x:v>1</x:v>
      </x:c>
      <x:c r="I163" s="8" t="n">
        <x:v>1</x:v>
      </x:c>
      <x:c r="J163" s="8" t="n">
        <x:v>8</x:v>
      </x:c>
      <x:c r="K163" s="8" t="n">
        <x:v>0</x:v>
      </x:c>
      <x:c r="L163" s="24" t="n">
        <x:f>F163*'Service inputs'!B65*'Service inputs'!C65</x:f>
        <x:v>547.5</x:v>
      </x:c>
      <x:c r="M163" s="24" t="n">
        <x:f>F163*E163*'Service inputs'!D65</x:f>
        <x:v>18.240149147</x:v>
      </x:c>
      <x:c r="N163" s="24" t="n">
        <x:f>F163*E163*'Service inputs'!E65</x:f>
        <x:v>1.658195377</x:v>
      </x:c>
      <x:c r="O163" s="24" t="n">
        <x:f>F163*E163*'Service inputs'!F65</x:f>
        <x:v>8.290976885</x:v>
      </x:c>
      <x:c r="P163" s="24" t="n">
        <x:f>L163+F163*G163*'Service inputs'!$B$17*'Service inputs'!$B$18*'Service inputs'!$B$19+M163*('Service inputs'!$B$20*'Service inputs'!$B$21+'Service inputs'!$B$22)+N163*'Service inputs'!$B$23+F163*(H163*'Service inputs'!$B$28*'Service inputs'!$B$29+I163*'Service inputs'!$B$24*'Service inputs'!$B$25+J163*'Service inputs'!$B$26*'Service inputs'!$B$27+K163*'Service inputs'!$B$30*'Service inputs'!$B$31)</x:f>
        <x:v>1454.006875621</x:v>
      </x:c>
      <x:c r="Q163" s="24" t="n">
        <x:f>O163/SUM($O$5:$O$320)*SUMIF(Workload!$A$5:$A$40,"Ecology",Workload!$G$5:$G$40)</x:f>
        <x:v>87.03626059673158</x:v>
      </x:c>
      <x:c r="R163" s="25" t="n">
        <x:f>P163/SUMIF(Workload!$A$5:$A$40,"Grounds",Workload!$G$5:$G$40)*Staffing!$J$5+Q163/SUMIF(Workload!$A$5:$A$40,"Ecology",Workload!$G$5:$G$40)*Staffing!$J$7</x:f>
        <x:v>157849.3763057327</x:v>
      </x:c>
      <x:c r="S163" s="8" t="n">
        <x:v>316</x:v>
      </x:c>
      <x:c r="T163" s="22" t="n">
        <x:v>0.14240506329113925</x:v>
      </x:c>
      <x:c r="U163" s="8" t="n">
        <x:v>27</x:v>
      </x:c>
      <x:c r="V163" s="8" t="n">
        <x:v>1</x:v>
      </x:c>
      <x:c r="W163" s="8" t="str">
        <x:v>https://parks.portlandciviclab.org/parks/laurelhurst-park-224</x:v>
      </x:c>
    </x:row>
    <x:row r="164" ht="23" customHeight="1">
      <x:c r="A164" s="7" t="str">
        <x:v>225</x:v>
      </x:c>
      <x:c r="B164" s="7" t="str">
        <x:v>Laurelwood Park</x:v>
      </x:c>
      <x:c r="C164" s="7" t="str">
        <x:v>developed-park</x:v>
      </x:c>
      <x:c r="D164" s="7" t="str">
        <x:v>District 3</x:v>
      </x:c>
      <x:c r="E164" s="19" t="n">
        <x:v>0.42457582</x:v>
      </x:c>
      <x:c r="F164" s="7" t="n">
        <x:v>1</x:v>
      </x:c>
      <x:c r="G164" s="7" t="n">
        <x:v>0</x:v>
      </x:c>
      <x:c r="H164" s="7" t="n">
        <x:v>0</x:v>
      </x:c>
      <x:c r="I164" s="7" t="n">
        <x:v>0</x:v>
      </x:c>
      <x:c r="J164" s="7" t="n">
        <x:v>0</x:v>
      </x:c>
      <x:c r="K164" s="7" t="n">
        <x:v>0</x:v>
      </x:c>
      <x:c r="L164" s="26" t="n">
        <x:f>F164*'Service inputs'!B65*'Service inputs'!C65</x:f>
        <x:v>547.5</x:v>
      </x:c>
      <x:c r="M164" s="26" t="n">
        <x:f>F164*E164*'Service inputs'!D65</x:f>
        <x:v>0.23351670100000002</x:v>
      </x:c>
      <x:c r="N164" s="26" t="n">
        <x:f>F164*E164*'Service inputs'!E65</x:f>
        <x:v>0.021228791</x:v>
      </x:c>
      <x:c r="O164" s="26" t="n">
        <x:f>F164*E164*'Service inputs'!F65</x:f>
        <x:v>0.106143955</x:v>
      </x:c>
      <x:c r="P164" s="26" t="n">
        <x:f>L164+F164*G164*'Service inputs'!$B$17*'Service inputs'!$B$18*'Service inputs'!$B$19+M164*('Service inputs'!$B$20*'Service inputs'!$B$21+'Service inputs'!$B$22)+N164*'Service inputs'!$B$23+F164*(H164*'Service inputs'!$B$28*'Service inputs'!$B$29+I164*'Service inputs'!$B$24*'Service inputs'!$B$25+J164*'Service inputs'!$B$26*'Service inputs'!$B$27+K164*'Service inputs'!$B$30*'Service inputs'!$B$31)</x:f>
        <x:v>555.418339043</x:v>
      </x:c>
      <x:c r="Q164" s="26" t="n">
        <x:f>O164/SUM($O$5:$O$320)*SUMIF(Workload!$A$5:$A$40,"Ecology",Workload!$G$5:$G$40)</x:f>
        <x:v>1.1142683252273657</x:v>
      </x:c>
      <x:c r="R164" s="27" t="n">
        <x:f>P164/SUMIF(Workload!$A$5:$A$40,"Grounds",Workload!$G$5:$G$40)*Staffing!$J$5+Q164/SUMIF(Workload!$A$5:$A$40,"Ecology",Workload!$G$5:$G$40)*Staffing!$J$7</x:f>
        <x:v>56578.26695905499</x:v>
      </x:c>
      <x:c r="S164" s="7" t="n">
        <x:v>40</x:v>
      </x:c>
      <x:c r="T164" s="23" t="n">
        <x:v>0</x:v>
      </x:c>
      <x:c r="U164" s="7" t="n">
        <x:v>0</x:v>
      </x:c>
      <x:c r="V164" s="7" t="n">
        <x:v>0</x:v>
      </x:c>
      <x:c r="W164" s="7" t="str">
        <x:v>https://parks.portlandciviclab.org/parks/laurelwood-park-225</x:v>
      </x:c>
    </x:row>
    <x:row r="165" ht="23" customHeight="1">
      <x:c r="A165" s="8" t="str">
        <x:v>226</x:v>
      </x:c>
      <x:c r="B165" s="8" t="str">
        <x:v>Leach Botanical Garden</x:v>
      </x:c>
      <x:c r="C165" s="8" t="str">
        <x:v>garden</x:v>
      </x:c>
      <x:c r="D165" s="8" t="str">
        <x:v>District 1</x:v>
      </x:c>
      <x:c r="E165" s="18" t="n">
        <x:v>17.34516866</x:v>
      </x:c>
      <x:c r="F165" s="8" t="n">
        <x:v>1</x:v>
      </x:c>
      <x:c r="G165" s="8" t="n">
        <x:v>1</x:v>
      </x:c>
      <x:c r="H165" s="8" t="n">
        <x:v>0</x:v>
      </x:c>
      <x:c r="I165" s="8" t="n">
        <x:v>0</x:v>
      </x:c>
      <x:c r="J165" s="8" t="n">
        <x:v>0</x:v>
      </x:c>
      <x:c r="K165" s="8" t="n">
        <x:v>0</x:v>
      </x:c>
      <x:c r="L165" s="24" t="n">
        <x:f>F165*'Service inputs'!B71*'Service inputs'!C71</x:f>
        <x:v>547.5</x:v>
      </x:c>
      <x:c r="M165" s="24" t="n">
        <x:f>F165*E165*'Service inputs'!D71</x:f>
        <x:v>4.336292165</x:v>
      </x:c>
      <x:c r="N165" s="24" t="n">
        <x:f>F165*E165*'Service inputs'!E71</x:f>
        <x:v>6.9380674639999995</x:v>
      </x:c>
      <x:c r="O165" s="24" t="n">
        <x:f>F165*E165*'Service inputs'!F71</x:f>
        <x:v>4.336292165</x:v>
      </x:c>
      <x:c r="P165" s="24" t="n">
        <x:f>L165+F165*G165*'Service inputs'!$B$17*'Service inputs'!$B$18*'Service inputs'!$B$19+M165*('Service inputs'!$B$20*'Service inputs'!$B$21+'Service inputs'!$B$22)+N165*'Service inputs'!$B$23+F165*(H165*'Service inputs'!$B$28*'Service inputs'!$B$29+I165*'Service inputs'!$B$24*'Service inputs'!$B$25+J165*'Service inputs'!$B$26*'Service inputs'!$B$27+K165*'Service inputs'!$B$30*'Service inputs'!$B$31)</x:f>
        <x:v>1801.552815475</x:v>
      </x:c>
      <x:c r="Q165" s="24" t="n">
        <x:f>O165/SUM($O$5:$O$320)*SUMIF(Workload!$A$5:$A$40,"Ecology",Workload!$G$5:$G$40)</x:f>
        <x:v>45.52113220570212</x:v>
      </x:c>
      <x:c r="R165" s="25" t="n">
        <x:f>P165/SUMIF(Workload!$A$5:$A$40,"Grounds",Workload!$G$5:$G$40)*Staffing!$J$5+Q165/SUMIF(Workload!$A$5:$A$40,"Ecology",Workload!$G$5:$G$40)*Staffing!$J$7</x:f>
        <x:v>188367.10172931608</x:v>
      </x:c>
      <x:c r="S165" s="8" t="n">
        <x:v>147</x:v>
      </x:c>
      <x:c r="T165" s="22" t="n">
        <x:v>0.05442176870748299</x:v>
      </x:c>
      <x:c r="U165" s="8" t="n">
        <x:v>0</x:v>
      </x:c>
      <x:c r="V165" s="8" t="n">
        <x:v>1</x:v>
      </x:c>
      <x:c r="W165" s="8" t="str">
        <x:v>https://parks.portlandciviclab.org/parks/leach-botanical-garden-226</x:v>
      </x:c>
    </x:row>
    <x:row r="166" ht="23" customHeight="1">
      <x:c r="A166" s="7" t="str">
        <x:v>234</x:v>
      </x:c>
      <x:c r="B166" s="7" t="str">
        <x:v>Lents Park</x:v>
      </x:c>
      <x:c r="C166" s="7" t="str">
        <x:v>developed-park</x:v>
      </x:c>
      <x:c r="D166" s="7" t="str">
        <x:v>District 1</x:v>
      </x:c>
      <x:c r="E166" s="19" t="n">
        <x:v>38.0716075</x:v>
      </x:c>
      <x:c r="F166" s="7" t="n">
        <x:v>1</x:v>
      </x:c>
      <x:c r="G166" s="7" t="n">
        <x:v>2</x:v>
      </x:c>
      <x:c r="H166" s="7" t="n">
        <x:v>1</x:v>
      </x:c>
      <x:c r="I166" s="7" t="n">
        <x:v>6</x:v>
      </x:c>
      <x:c r="J166" s="7" t="n">
        <x:v>5</x:v>
      </x:c>
      <x:c r="K166" s="7" t="n">
        <x:v>0</x:v>
      </x:c>
      <x:c r="L166" s="26" t="n">
        <x:f>F166*'Service inputs'!B65*'Service inputs'!C65</x:f>
        <x:v>547.5</x:v>
      </x:c>
      <x:c r="M166" s="26" t="n">
        <x:f>F166*E166*'Service inputs'!D65</x:f>
        <x:v>20.939384125</x:v>
      </x:c>
      <x:c r="N166" s="26" t="n">
        <x:f>F166*E166*'Service inputs'!E65</x:f>
        <x:v>1.903580375</x:v>
      </x:c>
      <x:c r="O166" s="26" t="n">
        <x:f>F166*E166*'Service inputs'!F65</x:f>
        <x:v>9.517901875</x:v>
      </x:c>
      <x:c r="P166" s="26" t="n">
        <x:f>L166+F166*G166*'Service inputs'!$B$17*'Service inputs'!$B$18*'Service inputs'!$B$19+M166*('Service inputs'!$B$20*'Service inputs'!$B$21+'Service inputs'!$B$22)+N166*'Service inputs'!$B$23+F166*(H166*'Service inputs'!$B$28*'Service inputs'!$B$29+I166*'Service inputs'!$B$24*'Service inputs'!$B$25+J166*'Service inputs'!$B$26*'Service inputs'!$B$27+K166*'Service inputs'!$B$30*'Service inputs'!$B$31)</x:f>
        <x:v>2660.035479875</x:v>
      </x:c>
      <x:c r="Q166" s="26" t="n">
        <x:f>O166/SUM($O$5:$O$320)*SUMIF(Workload!$A$5:$A$40,"Ecology",Workload!$G$5:$G$40)</x:f>
        <x:v>99.91616180059103</x:v>
      </x:c>
      <x:c r="R166" s="27" t="n">
        <x:f>P166/SUMIF(Workload!$A$5:$A$40,"Grounds",Workload!$G$5:$G$40)*Staffing!$J$5+Q166/SUMIF(Workload!$A$5:$A$40,"Ecology",Workload!$G$5:$G$40)*Staffing!$J$7</x:f>
        <x:v>281913.3571918676</x:v>
      </x:c>
      <x:c r="S166" s="7" t="n">
        <x:v>239</x:v>
      </x:c>
      <x:c r="T166" s="23" t="n">
        <x:v>0.11715481171548117</x:v>
      </x:c>
      <x:c r="U166" s="7" t="n">
        <x:v>22</x:v>
      </x:c>
      <x:c r="V166" s="7" t="n">
        <x:v>3</x:v>
      </x:c>
      <x:c r="W166" s="7" t="str">
        <x:v>https://parks.portlandciviclab.org/parks/lents-park-234</x:v>
      </x:c>
    </x:row>
    <x:row r="167" ht="23" customHeight="1">
      <x:c r="A167" s="8" t="str">
        <x:v>236</x:v>
      </x:c>
      <x:c r="B167" s="8" t="str">
        <x:v>Lesser Park</x:v>
      </x:c>
      <x:c r="C167" s="8" t="str">
        <x:v>natural-area</x:v>
      </x:c>
      <x:c r="D167" s="8" t="str">
        <x:v>District 4</x:v>
      </x:c>
      <x:c r="E167" s="18" t="n">
        <x:v>8.40079173</x:v>
      </x:c>
      <x:c r="F167" s="8" t="n">
        <x:v>1</x:v>
      </x:c>
      <x:c r="G167" s="8" t="n">
        <x:v>0</x:v>
      </x:c>
      <x:c r="H167" s="8" t="n">
        <x:v>0</x:v>
      </x:c>
      <x:c r="I167" s="8" t="n">
        <x:v>0</x:v>
      </x:c>
      <x:c r="J167" s="8" t="n">
        <x:v>0</x:v>
      </x:c>
      <x:c r="K167" s="8" t="n">
        <x:v>0</x:v>
      </x:c>
      <x:c r="L167" s="24" t="n">
        <x:f>F167*'Service inputs'!B66*'Service inputs'!C66</x:f>
        <x:v>78</x:v>
      </x:c>
      <x:c r="M167" s="24" t="n">
        <x:f>F167*E167*'Service inputs'!D66</x:f>
        <x:v>0.04200395865</x:v>
      </x:c>
      <x:c r="N167" s="24" t="n">
        <x:f>F167*E167*'Service inputs'!E66</x:f>
        <x:v>0</x:v>
      </x:c>
      <x:c r="O167" s="24" t="n">
        <x:f>F167*E167*'Service inputs'!F66</x:f>
        <x:v>8.3167838127</x:v>
      </x:c>
      <x:c r="P167" s="24" t="n">
        <x:f>L167+F167*G167*'Service inputs'!$B$17*'Service inputs'!$B$18*'Service inputs'!$B$19+M167*('Service inputs'!$B$20*'Service inputs'!$B$21+'Service inputs'!$B$22)+N167*'Service inputs'!$B$23+F167*(H167*'Service inputs'!$B$28*'Service inputs'!$B$29+I167*'Service inputs'!$B$24*'Service inputs'!$B$25+J167*'Service inputs'!$B$26*'Service inputs'!$B$27+K167*'Service inputs'!$B$30*'Service inputs'!$B$31)</x:f>
        <x:v>78.96609104895</x:v>
      </x:c>
      <x:c r="Q167" s="24" t="n">
        <x:f>O167/SUM($O$5:$O$320)*SUMIF(Workload!$A$5:$A$40,"Ecology",Workload!$G$5:$G$40)</x:f>
        <x:v>87.30717420747412</x:v>
      </x:c>
      <x:c r="R167" s="25" t="n">
        <x:f>P167/SUMIF(Workload!$A$5:$A$40,"Grounds",Workload!$G$5:$G$40)*Staffing!$J$5+Q167/SUMIF(Workload!$A$5:$A$40,"Ecology",Workload!$G$5:$G$40)*Staffing!$J$7</x:f>
        <x:v>18130.031096754617</x:v>
      </x:c>
      <x:c r="S167" s="8" t="n">
        <x:v>6</x:v>
      </x:c>
      <x:c r="T167" s="22" t="n">
        <x:v>0.6666666666666666</x:v>
      </x:c>
      <x:c r="U167" s="8" t="n">
        <x:v>0</x:v>
      </x:c>
      <x:c r="V167" s="8" t="n">
        <x:v>0</x:v>
      </x:c>
      <x:c r="W167" s="8" t="str">
        <x:v>https://parks.portlandciviclab.org/parks/lesser-park-236</x:v>
      </x:c>
    </x:row>
    <x:row r="168" ht="23" customHeight="1">
      <x:c r="A168" s="7" t="str">
        <x:v>238</x:v>
      </x:c>
      <x:c r="B168" s="7" t="str">
        <x:v>Lillis-Albina Park</x:v>
      </x:c>
      <x:c r="C168" s="7" t="str">
        <x:v>developed-park</x:v>
      </x:c>
      <x:c r="D168" s="7" t="str">
        <x:v>District 2</x:v>
      </x:c>
      <x:c r="E168" s="19" t="n">
        <x:v>3.92751087</x:v>
      </x:c>
      <x:c r="F168" s="7" t="n">
        <x:v>1</x:v>
      </x:c>
      <x:c r="G168" s="7" t="n">
        <x:v>0</x:v>
      </x:c>
      <x:c r="H168" s="7" t="n">
        <x:v>1</x:v>
      </x:c>
      <x:c r="I168" s="7" t="n">
        <x:v>2</x:v>
      </x:c>
      <x:c r="J168" s="7" t="n">
        <x:v>0</x:v>
      </x:c>
      <x:c r="K168" s="7" t="n">
        <x:v>0</x:v>
      </x:c>
      <x:c r="L168" s="26" t="n">
        <x:f>F168*'Service inputs'!B65*'Service inputs'!C65</x:f>
        <x:v>547.5</x:v>
      </x:c>
      <x:c r="M168" s="26" t="n">
        <x:f>F168*E168*'Service inputs'!D65</x:f>
        <x:v>2.1601309785000002</x:v>
      </x:c>
      <x:c r="N168" s="26" t="n">
        <x:f>F168*E168*'Service inputs'!E65</x:f>
        <x:v>0.1963755435</x:v>
      </x:c>
      <x:c r="O168" s="26" t="n">
        <x:f>F168*E168*'Service inputs'!F65</x:f>
        <x:v>0.9818777175</x:v>
      </x:c>
      <x:c r="P168" s="26" t="n">
        <x:f>L168+F168*G168*'Service inputs'!$B$17*'Service inputs'!$B$18*'Service inputs'!$B$19+M168*('Service inputs'!$B$20*'Service inputs'!$B$21+'Service inputs'!$B$22)+N168*'Service inputs'!$B$23+F168*(H168*'Service inputs'!$B$28*'Service inputs'!$B$29+I168*'Service inputs'!$B$24*'Service inputs'!$B$25+J168*'Service inputs'!$B$26*'Service inputs'!$B$27+K168*'Service inputs'!$B$30*'Service inputs'!$B$31)</x:f>
        <x:v>869.7480777254999</x:v>
      </x:c>
      <x:c r="Q168" s="26" t="n">
        <x:f>O168/SUM($O$5:$O$320)*SUMIF(Workload!$A$5:$A$40,"Ecology",Workload!$G$5:$G$40)</x:f>
        <x:v>10.307466307024205</x:v>
      </x:c>
      <x:c r="R168" s="27" t="n">
        <x:f>P168/SUMIF(Workload!$A$5:$A$40,"Grounds",Workload!$G$5:$G$40)*Staffing!$J$5+Q168/SUMIF(Workload!$A$5:$A$40,"Ecology",Workload!$G$5:$G$40)*Staffing!$J$7</x:f>
        <x:v>89588.77577682123</x:v>
      </x:c>
      <x:c r="S168" s="7" t="n">
        <x:v>31</x:v>
      </x:c>
      <x:c r="T168" s="23" t="n">
        <x:v>0.25806451612903225</x:v>
      </x:c>
      <x:c r="U168" s="7" t="n">
        <x:v>2</x:v>
      </x:c>
      <x:c r="V168" s="7" t="n">
        <x:v>0</x:v>
      </x:c>
      <x:c r="W168" s="7" t="str">
        <x:v>https://parks.portlandciviclab.org/parks/lillis-albina-park-238</x:v>
      </x:c>
    </x:row>
    <x:row r="169" ht="23" customHeight="1">
      <x:c r="A169" s="8" t="str">
        <x:v>239</x:v>
      </x:c>
      <x:c r="B169" s="8" t="str">
        <x:v>Lincoln Park</x:v>
      </x:c>
      <x:c r="C169" s="8" t="str">
        <x:v>developed-park</x:v>
      </x:c>
      <x:c r="D169" s="8" t="str">
        <x:v>District 1</x:v>
      </x:c>
      <x:c r="E169" s="18" t="n">
        <x:v>7.06097893</x:v>
      </x:c>
      <x:c r="F169" s="8" t="n">
        <x:v>1</x:v>
      </x:c>
      <x:c r="G169" s="8" t="n">
        <x:v>1</x:v>
      </x:c>
      <x:c r="H169" s="8" t="n">
        <x:v>1</x:v>
      </x:c>
      <x:c r="I169" s="8" t="n">
        <x:v>0</x:v>
      </x:c>
      <x:c r="J169" s="8" t="n">
        <x:v>1</x:v>
      </x:c>
      <x:c r="K169" s="8" t="n">
        <x:v>0</x:v>
      </x:c>
      <x:c r="L169" s="24" t="n">
        <x:f>F169*'Service inputs'!B65*'Service inputs'!C65</x:f>
        <x:v>547.5</x:v>
      </x:c>
      <x:c r="M169" s="24" t="n">
        <x:f>F169*E169*'Service inputs'!D65</x:f>
        <x:v>3.8835384115000005</x:v>
      </x:c>
      <x:c r="N169" s="24" t="n">
        <x:f>F169*E169*'Service inputs'!E65</x:f>
        <x:v>0.3530489465</x:v>
      </x:c>
      <x:c r="O169" s="24" t="n">
        <x:f>F169*E169*'Service inputs'!F65</x:f>
        <x:v>1.7652447325</x:v>
      </x:c>
      <x:c r="P169" s="24" t="n">
        <x:f>L169+F169*G169*'Service inputs'!$B$17*'Service inputs'!$B$18*'Service inputs'!$B$19+M169*('Service inputs'!$B$20*'Service inputs'!$B$21+'Service inputs'!$B$22)+N169*'Service inputs'!$B$23+F169*(H169*'Service inputs'!$B$28*'Service inputs'!$B$29+I169*'Service inputs'!$B$24*'Service inputs'!$B$25+J169*'Service inputs'!$B$26*'Service inputs'!$B$27+K169*'Service inputs'!$B$30*'Service inputs'!$B$31)</x:f>
        <x:v>1057.9372570445</x:v>
      </x:c>
      <x:c r="Q169" s="24" t="n">
        <x:f>O169/SUM($O$5:$O$320)*SUMIF(Workload!$A$5:$A$40,"Ecology",Workload!$G$5:$G$40)</x:f>
        <x:v>18.53102507532534</x:v>
      </x:c>
      <x:c r="R169" s="25" t="n">
        <x:f>P169/SUMIF(Workload!$A$5:$A$40,"Grounds",Workload!$G$5:$G$40)*Staffing!$J$5+Q169/SUMIF(Workload!$A$5:$A$40,"Ecology",Workload!$G$5:$G$40)*Staffing!$J$7</x:f>
        <x:v>109666.91280396415</x:v>
      </x:c>
      <x:c r="S169" s="8" t="n">
        <x:v>70</x:v>
      </x:c>
      <x:c r="T169" s="22" t="n">
        <x:v>0.12857142857142856</x:v>
      </x:c>
      <x:c r="U169" s="8" t="n">
        <x:v>4</x:v>
      </x:c>
      <x:c r="V169" s="8" t="n">
        <x:v>0</x:v>
      </x:c>
      <x:c r="W169" s="8" t="str">
        <x:v>https://parks.portlandciviclab.org/parks/lincoln-park-239</x:v>
      </x:c>
    </x:row>
    <x:row r="170" ht="23" customHeight="1">
      <x:c r="A170" s="7" t="str">
        <x:v>849</x:v>
      </x:c>
      <x:c r="B170" s="7" t="str">
        <x:v>Loll Wildwood Natural Area</x:v>
      </x:c>
      <x:c r="C170" s="7" t="str">
        <x:v>natural-area</x:v>
      </x:c>
      <x:c r="D170" s="7" t="str">
        <x:v>District 4</x:v>
      </x:c>
      <x:c r="E170" s="19" t="n">
        <x:v>24.04628906</x:v>
      </x:c>
      <x:c r="F170" s="7" t="n">
        <x:v>1</x:v>
      </x:c>
      <x:c r="G170" s="7" t="n">
        <x:v>0</x:v>
      </x:c>
      <x:c r="H170" s="7" t="n">
        <x:v>0</x:v>
      </x:c>
      <x:c r="I170" s="7" t="n">
        <x:v>0</x:v>
      </x:c>
      <x:c r="J170" s="7" t="n">
        <x:v>0</x:v>
      </x:c>
      <x:c r="K170" s="7" t="n">
        <x:v>0</x:v>
      </x:c>
      <x:c r="L170" s="26" t="n">
        <x:f>F170*'Service inputs'!B66*'Service inputs'!C66</x:f>
        <x:v>78</x:v>
      </x:c>
      <x:c r="M170" s="26" t="n">
        <x:f>F170*E170*'Service inputs'!D66</x:f>
        <x:v>0.1202314453</x:v>
      </x:c>
      <x:c r="N170" s="26" t="n">
        <x:f>F170*E170*'Service inputs'!E66</x:f>
        <x:v>0</x:v>
      </x:c>
      <x:c r="O170" s="26" t="n">
        <x:f>F170*E170*'Service inputs'!F66</x:f>
        <x:v>23.8058261694</x:v>
      </x:c>
      <x:c r="P170" s="26" t="n">
        <x:f>L170+F170*G170*'Service inputs'!$B$17*'Service inputs'!$B$18*'Service inputs'!$B$19+M170*('Service inputs'!$B$20*'Service inputs'!$B$21+'Service inputs'!$B$22)+N170*'Service inputs'!$B$23+F170*(H170*'Service inputs'!$B$28*'Service inputs'!$B$29+I170*'Service inputs'!$B$24*'Service inputs'!$B$25+J170*'Service inputs'!$B$26*'Service inputs'!$B$27+K170*'Service inputs'!$B$30*'Service inputs'!$B$31)</x:f>
        <x:v>80.7653232419</x:v>
      </x:c>
      <x:c r="Q170" s="26" t="n">
        <x:f>O170/SUM($O$5:$O$320)*SUMIF(Workload!$A$5:$A$40,"Ecology",Workload!$G$5:$G$40)</x:f>
        <x:v>249.90662969390138</x:v>
      </x:c>
      <x:c r="R170" s="27" t="n">
        <x:f>P170/SUMIF(Workload!$A$5:$A$40,"Grounds",Workload!$G$5:$G$40)*Staffing!$J$5+Q170/SUMIF(Workload!$A$5:$A$40,"Ecology",Workload!$G$5:$G$40)*Staffing!$J$7</x:f>
        <x:v>37131.16850035641</x:v>
      </x:c>
      <x:c r="S170" s="7" t="n">
        <x:v>0</x:v>
      </x:c>
      <x:c r="T170" s="23" t="n">
        <x:v>0</x:v>
      </x:c>
      <x:c r="U170" s="7" t="n">
        <x:v>0</x:v>
      </x:c>
      <x:c r="V170" s="7" t="n">
        <x:v>0</x:v>
      </x:c>
      <x:c r="W170" s="7" t="str">
        <x:v>https://parks.portlandciviclab.org/parks/loll-wildwood-natural-area-849</x:v>
      </x:c>
    </x:row>
    <x:row r="171" ht="23" customHeight="1">
      <x:c r="A171" s="8" t="str">
        <x:v>241</x:v>
      </x:c>
      <x:c r="B171" s="8" t="str">
        <x:v>Lotus Isle Park</x:v>
      </x:c>
      <x:c r="C171" s="8" t="str">
        <x:v>developed-park</x:v>
      </x:c>
      <x:c r="D171" s="8" t="str">
        <x:v>District 2</x:v>
      </x:c>
      <x:c r="E171" s="18" t="n">
        <x:v>1.64511994</x:v>
      </x:c>
      <x:c r="F171" s="8" t="n">
        <x:v>1</x:v>
      </x:c>
      <x:c r="G171" s="8" t="n">
        <x:v>0</x:v>
      </x:c>
      <x:c r="H171" s="8" t="n">
        <x:v>1</x:v>
      </x:c>
      <x:c r="I171" s="8" t="n">
        <x:v>0</x:v>
      </x:c>
      <x:c r="J171" s="8" t="n">
        <x:v>0</x:v>
      </x:c>
      <x:c r="K171" s="8" t="n">
        <x:v>0</x:v>
      </x:c>
      <x:c r="L171" s="24" t="n">
        <x:f>F171*'Service inputs'!B65*'Service inputs'!C65</x:f>
        <x:v>547.5</x:v>
      </x:c>
      <x:c r="M171" s="24" t="n">
        <x:f>F171*E171*'Service inputs'!D65</x:f>
        <x:v>0.9048159670000001</x:v>
      </x:c>
      <x:c r="N171" s="24" t="n">
        <x:f>F171*E171*'Service inputs'!E65</x:f>
        <x:v>0.08225599700000001</x:v>
      </x:c>
      <x:c r="O171" s="24" t="n">
        <x:f>F171*E171*'Service inputs'!F65</x:f>
        <x:v>0.411279985</x:v>
      </x:c>
      <x:c r="P171" s="24" t="n">
        <x:f>L171+F171*G171*'Service inputs'!$B$17*'Service inputs'!$B$18*'Service inputs'!$B$19+M171*('Service inputs'!$B$20*'Service inputs'!$B$21+'Service inputs'!$B$22)+N171*'Service inputs'!$B$23+F171*(H171*'Service inputs'!$B$28*'Service inputs'!$B$29+I171*'Service inputs'!$B$24*'Service inputs'!$B$25+J171*'Service inputs'!$B$26*'Service inputs'!$B$27+K171*'Service inputs'!$B$30*'Service inputs'!$B$31)</x:f>
        <x:v>617.181486881</x:v>
      </x:c>
      <x:c r="Q171" s="24" t="n">
        <x:f>O171/SUM($O$5:$O$320)*SUMIF(Workload!$A$5:$A$40,"Ecology",Workload!$G$5:$G$40)</x:f>
        <x:v>4.317497497483357</x:v>
      </x:c>
      <x:c r="R171" s="25" t="n">
        <x:f>P171/SUMIF(Workload!$A$5:$A$40,"Grounds",Workload!$G$5:$G$40)*Staffing!$J$5+Q171/SUMIF(Workload!$A$5:$A$40,"Ecology",Workload!$G$5:$G$40)*Staffing!$J$7</x:f>
        <x:v>63226.216233531166</x:v>
      </x:c>
      <x:c r="S171" s="8" t="n">
        <x:v>12</x:v>
      </x:c>
      <x:c r="T171" s="22" t="n">
        <x:v>0</x:v>
      </x:c>
      <x:c r="U171" s="8" t="n">
        <x:v>0</x:v>
      </x:c>
      <x:c r="V171" s="8" t="n">
        <x:v>0</x:v>
      </x:c>
      <x:c r="W171" s="8" t="str">
        <x:v>https://parks.portlandciviclab.org/parks/lotus-isle-park-241</x:v>
      </x:c>
    </x:row>
    <x:row r="172" ht="23" customHeight="1">
      <x:c r="A172" s="7" t="str">
        <x:v>242</x:v>
      </x:c>
      <x:c r="B172" s="7" t="str">
        <x:v>Lovejoy Fountain</x:v>
      </x:c>
      <x:c r="C172" s="7" t="str">
        <x:v>plaza-memorial</x:v>
      </x:c>
      <x:c r="D172" s="7" t="str">
        <x:v>District 4</x:v>
      </x:c>
      <x:c r="E172" s="19" t="n">
        <x:v>1.10767268</x:v>
      </x:c>
      <x:c r="F172" s="7" t="n">
        <x:v>1</x:v>
      </x:c>
      <x:c r="G172" s="7" t="n">
        <x:v>0</x:v>
      </x:c>
      <x:c r="H172" s="7" t="n">
        <x:v>0</x:v>
      </x:c>
      <x:c r="I172" s="7" t="n">
        <x:v>0</x:v>
      </x:c>
      <x:c r="J172" s="7" t="n">
        <x:v>0</x:v>
      </x:c>
      <x:c r="K172" s="7" t="n">
        <x:v>0</x:v>
      </x:c>
      <x:c r="L172" s="26" t="n">
        <x:f>F172*'Service inputs'!B68*'Service inputs'!C68</x:f>
        <x:v>730</x:v>
      </x:c>
      <x:c r="M172" s="26" t="n">
        <x:f>F172*E172*'Service inputs'!D68</x:f>
        <x:v>0</x:v>
      </x:c>
      <x:c r="N172" s="26" t="n">
        <x:f>F172*E172*'Service inputs'!E68</x:f>
        <x:v>0.11076726800000002</x:v>
      </x:c>
      <x:c r="O172" s="26" t="n">
        <x:f>F172*E172*'Service inputs'!F68</x:f>
        <x:v>0</x:v>
      </x:c>
      <x:c r="P172" s="26" t="n">
        <x:f>L172+F172*G172*'Service inputs'!$B$17*'Service inputs'!$B$18*'Service inputs'!$B$19+M172*('Service inputs'!$B$20*'Service inputs'!$B$21+'Service inputs'!$B$22)+N172*'Service inputs'!$B$23+F172*(H172*'Service inputs'!$B$28*'Service inputs'!$B$29+I172*'Service inputs'!$B$24*'Service inputs'!$B$25+J172*'Service inputs'!$B$26*'Service inputs'!$B$27+K172*'Service inputs'!$B$30*'Service inputs'!$B$31)</x:f>
        <x:v>743.29207216</x:v>
      </x:c>
      <x:c r="Q172" s="26" t="n">
        <x:f>O172/SUM($O$5:$O$320)*SUMIF(Workload!$A$5:$A$40,"Ecology",Workload!$G$5:$G$40)</x:f>
        <x:v>0</x:v>
      </x:c>
      <x:c r="R172" s="27" t="n">
        <x:f>P172/SUMIF(Workload!$A$5:$A$40,"Grounds",Workload!$G$5:$G$40)*Staffing!$J$5+Q172/SUMIF(Workload!$A$5:$A$40,"Ecology",Workload!$G$5:$G$40)*Staffing!$J$7</x:f>
        <x:v>75543.64051618407</x:v>
      </x:c>
      <x:c r="S172" s="7" t="n">
        <x:v>12</x:v>
      </x:c>
      <x:c r="T172" s="23" t="n">
        <x:v>0.16666666666666666</x:v>
      </x:c>
      <x:c r="U172" s="7" t="n">
        <x:v>1</x:v>
      </x:c>
      <x:c r="V172" s="7" t="n">
        <x:v>1</x:v>
      </x:c>
      <x:c r="W172" s="7" t="str">
        <x:v>https://parks.portlandciviclab.org/parks/lovejoy-fountain-242</x:v>
      </x:c>
    </x:row>
    <x:row r="173" ht="23" customHeight="1">
      <x:c r="A173" s="8" t="str">
        <x:v>56</x:v>
      </x:c>
      <x:c r="B173" s="8" t="str">
        <x:v>Luuwit View Park</x:v>
      </x:c>
      <x:c r="C173" s="8" t="str">
        <x:v>developed-park</x:v>
      </x:c>
      <x:c r="D173" s="8" t="str">
        <x:v>District 1</x:v>
      </x:c>
      <x:c r="E173" s="18" t="n">
        <x:v>15.82032938</x:v>
      </x:c>
      <x:c r="F173" s="8" t="n">
        <x:v>1</x:v>
      </x:c>
      <x:c r="G173" s="8" t="n">
        <x:v>1</x:v>
      </x:c>
      <x:c r="H173" s="8" t="n">
        <x:v>1</x:v>
      </x:c>
      <x:c r="I173" s="8" t="n">
        <x:v>1</x:v>
      </x:c>
      <x:c r="J173" s="8" t="n">
        <x:v>1</x:v>
      </x:c>
      <x:c r="K173" s="8" t="n">
        <x:v>1</x:v>
      </x:c>
      <x:c r="L173" s="24" t="n">
        <x:f>F173*'Service inputs'!B65*'Service inputs'!C65</x:f>
        <x:v>547.5</x:v>
      </x:c>
      <x:c r="M173" s="24" t="n">
        <x:f>F173*E173*'Service inputs'!D65</x:f>
        <x:v>8.701181159</x:v>
      </x:c>
      <x:c r="N173" s="24" t="n">
        <x:f>F173*E173*'Service inputs'!E65</x:f>
        <x:v>0.7910164690000001</x:v>
      </x:c>
      <x:c r="O173" s="24" t="n">
        <x:f>F173*E173*'Service inputs'!F65</x:f>
        <x:v>3.955082345</x:v>
      </x:c>
      <x:c r="P173" s="24" t="n">
        <x:f>L173+F173*G173*'Service inputs'!$B$17*'Service inputs'!$B$18*'Service inputs'!$B$19+M173*('Service inputs'!$B$20*'Service inputs'!$B$21+'Service inputs'!$B$22)+N173*'Service inputs'!$B$23+F173*(H173*'Service inputs'!$B$28*'Service inputs'!$B$29+I173*'Service inputs'!$B$24*'Service inputs'!$B$25+J173*'Service inputs'!$B$26*'Service inputs'!$B$27+K173*'Service inputs'!$B$30*'Service inputs'!$B$31)</x:f>
        <x:v>1374.2991429370002</x:v>
      </x:c>
      <x:c r="Q173" s="24" t="n">
        <x:f>O173/SUM($O$5:$O$320)*SUMIF(Workload!$A$5:$A$40,"Ecology",Workload!$G$5:$G$40)</x:f>
        <x:v>41.51930254247142</x:v>
      </x:c>
      <x:c r="R173" s="25" t="n">
        <x:f>P173/SUMIF(Workload!$A$5:$A$40,"Grounds",Workload!$G$5:$G$40)*Staffing!$J$5+Q173/SUMIF(Workload!$A$5:$A$40,"Ecology",Workload!$G$5:$G$40)*Staffing!$J$7</x:f>
        <x:v>144480.51538720532</x:v>
      </x:c>
      <x:c r="S173" s="8" t="n">
        <x:v>221</x:v>
      </x:c>
      <x:c r="T173" s="22" t="n">
        <x:v>0.03619909502262444</x:v>
      </x:c>
      <x:c r="U173" s="8" t="n">
        <x:v>0</x:v>
      </x:c>
      <x:c r="V173" s="8" t="n">
        <x:v>0</x:v>
      </x:c>
      <x:c r="W173" s="8" t="str">
        <x:v>https://parks.portlandciviclab.org/parks/luuwit-view-park-56</x:v>
      </x:c>
    </x:row>
    <x:row r="174" ht="23" customHeight="1">
      <x:c r="A174" s="7" t="str">
        <x:v>245</x:v>
      </x:c>
      <x:c r="B174" s="7" t="str">
        <x:v>Lynchwood Park</x:v>
      </x:c>
      <x:c r="C174" s="7" t="str">
        <x:v>developed-park</x:v>
      </x:c>
      <x:c r="D174" s="7" t="str">
        <x:v>District 1</x:v>
      </x:c>
      <x:c r="E174" s="19" t="n">
        <x:v>8.45390335</x:v>
      </x:c>
      <x:c r="F174" s="7" t="n">
        <x:v>1</x:v>
      </x:c>
      <x:c r="G174" s="7" t="n">
        <x:v>0</x:v>
      </x:c>
      <x:c r="H174" s="7" t="n">
        <x:v>0</x:v>
      </x:c>
      <x:c r="I174" s="7" t="n">
        <x:v>0</x:v>
      </x:c>
      <x:c r="J174" s="7" t="n">
        <x:v>0</x:v>
      </x:c>
      <x:c r="K174" s="7" t="n">
        <x:v>0</x:v>
      </x:c>
      <x:c r="L174" s="26" t="n">
        <x:f>F174*'Service inputs'!B65*'Service inputs'!C65</x:f>
        <x:v>547.5</x:v>
      </x:c>
      <x:c r="M174" s="26" t="n">
        <x:f>F174*E174*'Service inputs'!D65</x:f>
        <x:v>4.6496468425</x:v>
      </x:c>
      <x:c r="N174" s="26" t="n">
        <x:f>F174*E174*'Service inputs'!E65</x:f>
        <x:v>0.42269516749999997</x:v>
      </x:c>
      <x:c r="O174" s="26" t="n">
        <x:f>F174*E174*'Service inputs'!F65</x:f>
        <x:v>2.1134758375</x:v>
      </x:c>
      <x:c r="P174" s="26" t="n">
        <x:f>L174+F174*G174*'Service inputs'!$B$17*'Service inputs'!$B$18*'Service inputs'!$B$19+M174*('Service inputs'!$B$20*'Service inputs'!$B$21+'Service inputs'!$B$22)+N174*'Service inputs'!$B$23+F174*(H174*'Service inputs'!$B$28*'Service inputs'!$B$29+I174*'Service inputs'!$B$24*'Service inputs'!$B$25+J174*'Service inputs'!$B$26*'Service inputs'!$B$27+K174*'Service inputs'!$B$30*'Service inputs'!$B$31)</x:f>
        <x:v>705.1652974775</x:v>
      </x:c>
      <x:c r="Q174" s="26" t="n">
        <x:f>O174/SUM($O$5:$O$320)*SUMIF(Workload!$A$5:$A$40,"Ecology",Workload!$G$5:$G$40)</x:f>
        <x:v>22.18665379351682</x:v>
      </x:c>
      <x:c r="R174" s="27" t="n">
        <x:f>P174/SUMIF(Workload!$A$5:$A$40,"Grounds",Workload!$G$5:$G$40)*Staffing!$J$5+Q174/SUMIF(Workload!$A$5:$A$40,"Ecology",Workload!$G$5:$G$40)*Staffing!$J$7</x:f>
        <x:v>74236.41803729253</x:v>
      </x:c>
      <x:c r="S174" s="7" t="n">
        <x:v>27</x:v>
      </x:c>
      <x:c r="T174" s="23" t="n">
        <x:v>0</x:v>
      </x:c>
      <x:c r="U174" s="7" t="n">
        <x:v>0</x:v>
      </x:c>
      <x:c r="V174" s="7" t="n">
        <x:v>0</x:v>
      </x:c>
      <x:c r="W174" s="7" t="str">
        <x:v>https://parks.portlandciviclab.org/parks/lynchwood-park-245</x:v>
      </x:c>
    </x:row>
    <x:row r="175" ht="23" customHeight="1">
      <x:c r="A175" s="8" t="str">
        <x:v>247</x:v>
      </x:c>
      <x:c r="B175" s="8" t="str">
        <x:v>Madrona Park</x:v>
      </x:c>
      <x:c r="C175" s="8" t="str">
        <x:v>natural-area</x:v>
      </x:c>
      <x:c r="D175" s="8" t="str">
        <x:v>District 2</x:v>
      </x:c>
      <x:c r="E175" s="18" t="n">
        <x:v>9.45218246</x:v>
      </x:c>
      <x:c r="F175" s="8" t="n">
        <x:v>1</x:v>
      </x:c>
      <x:c r="G175" s="8" t="n">
        <x:v>0</x:v>
      </x:c>
      <x:c r="H175" s="8" t="n">
        <x:v>1</x:v>
      </x:c>
      <x:c r="I175" s="8" t="n">
        <x:v>0</x:v>
      </x:c>
      <x:c r="J175" s="8" t="n">
        <x:v>2</x:v>
      </x:c>
      <x:c r="K175" s="8" t="n">
        <x:v>0</x:v>
      </x:c>
      <x:c r="L175" s="24" t="n">
        <x:f>F175*'Service inputs'!B66*'Service inputs'!C66</x:f>
        <x:v>78</x:v>
      </x:c>
      <x:c r="M175" s="24" t="n">
        <x:f>F175*E175*'Service inputs'!D66</x:f>
        <x:v>0.0472609123</x:v>
      </x:c>
      <x:c r="N175" s="24" t="n">
        <x:f>F175*E175*'Service inputs'!E66</x:f>
        <x:v>0</x:v>
      </x:c>
      <x:c r="O175" s="24" t="n">
        <x:f>F175*E175*'Service inputs'!F66</x:f>
        <x:v>9.3576606354</x:v>
      </x:c>
      <x:c r="P175" s="24" t="n">
        <x:f>L175+F175*G175*'Service inputs'!$B$17*'Service inputs'!$B$18*'Service inputs'!$B$19+M175*('Service inputs'!$B$20*'Service inputs'!$B$21+'Service inputs'!$B$22)+N175*'Service inputs'!$B$23+F175*(H175*'Service inputs'!$B$28*'Service inputs'!$B$29+I175*'Service inputs'!$B$24*'Service inputs'!$B$25+J175*'Service inputs'!$B$26*'Service inputs'!$B$27+K175*'Service inputs'!$B$30*'Service inputs'!$B$31)</x:f>
        <x:v>154.0870009829</x:v>
      </x:c>
      <x:c r="Q175" s="24" t="n">
        <x:f>O175/SUM($O$5:$O$320)*SUMIF(Workload!$A$5:$A$40,"Ecology",Workload!$G$5:$G$40)</x:f>
        <x:v>98.23399593743426</x:v>
      </x:c>
      <x:c r="R175" s="25" t="n">
        <x:f>P175/SUMIF(Workload!$A$5:$A$40,"Grounds",Workload!$G$5:$G$40)*Staffing!$J$5+Q175/SUMIF(Workload!$A$5:$A$40,"Ecology",Workload!$G$5:$G$40)*Staffing!$J$7</x:f>
        <x:v>27029.463004116133</x:v>
      </x:c>
      <x:c r="S175" s="8" t="n">
        <x:v>20</x:v>
      </x:c>
      <x:c r="T175" s="22" t="n">
        <x:v>0</x:v>
      </x:c>
      <x:c r="U175" s="8" t="n">
        <x:v>0</x:v>
      </x:c>
      <x:c r="V175" s="8" t="n">
        <x:v>0</x:v>
      </x:c>
      <x:c r="W175" s="8" t="str">
        <x:v>https://parks.portlandciviclab.org/parks/madrona-park-247</x:v>
      </x:c>
    </x:row>
    <x:row r="176" ht="23" customHeight="1">
      <x:c r="A176" s="7" t="str">
        <x:v>450</x:v>
      </x:c>
      <x:c r="B176" s="7" t="str">
        <x:v>Maint Facility - 21st and Pacific</x:v>
      </x:c>
      <x:c r="C176" s="7" t="str">
        <x:v>maintenance-yard</x:v>
      </x:c>
      <x:c r="D176" s="7" t="str">
        <x:v>District 3</x:v>
      </x:c>
      <x:c r="E176" s="19" t="n">
        <x:v>0.34435256</x:v>
      </x:c>
      <x:c r="F176" s="7" t="n">
        <x:v>1</x:v>
      </x:c>
      <x:c r="G176" s="7" t="n">
        <x:v>0</x:v>
      </x:c>
      <x:c r="H176" s="7" t="n">
        <x:v>0</x:v>
      </x:c>
      <x:c r="I176" s="7" t="n">
        <x:v>0</x:v>
      </x:c>
      <x:c r="J176" s="7" t="n">
        <x:v>0</x:v>
      </x:c>
      <x:c r="K176" s="7" t="n">
        <x:v>0</x:v>
      </x:c>
      <x:c r="L176" s="26" t="n">
        <x:f>F176*'Service inputs'!B73*'Service inputs'!C73</x:f>
        <x:v>130</x:v>
      </x:c>
      <x:c r="M176" s="26" t="n">
        <x:f>F176*E176*'Service inputs'!D73</x:f>
        <x:v>0.017217628</x:v>
      </x:c>
      <x:c r="N176" s="26" t="n">
        <x:f>F176*E176*'Service inputs'!E73</x:f>
        <x:v>0.0034435256</x:v>
      </x:c>
      <x:c r="O176" s="26" t="n">
        <x:f>F176*E176*'Service inputs'!F73</x:f>
        <x:v>0</x:v>
      </x:c>
      <x:c r="P176" s="26" t="n">
        <x:f>L176+F176*G176*'Service inputs'!$B$17*'Service inputs'!$B$18*'Service inputs'!$B$19+M176*('Service inputs'!$B$20*'Service inputs'!$B$21+'Service inputs'!$B$22)+N176*'Service inputs'!$B$23+F176*(H176*'Service inputs'!$B$28*'Service inputs'!$B$29+I176*'Service inputs'!$B$24*'Service inputs'!$B$25+J176*'Service inputs'!$B$26*'Service inputs'!$B$27+K176*'Service inputs'!$B$30*'Service inputs'!$B$31)</x:f>
        <x:v>130.809228516</x:v>
      </x:c>
      <x:c r="Q176" s="26" t="n">
        <x:f>O176/SUM($O$5:$O$320)*SUMIF(Workload!$A$5:$A$40,"Ecology",Workload!$G$5:$G$40)</x:f>
        <x:v>0</x:v>
      </x:c>
      <x:c r="R176" s="27" t="n">
        <x:f>P176/SUMIF(Workload!$A$5:$A$40,"Grounds",Workload!$G$5:$G$40)*Staffing!$J$5+Q176/SUMIF(Workload!$A$5:$A$40,"Ecology",Workload!$G$5:$G$40)*Staffing!$J$7</x:f>
        <x:v>13294.64648599795</x:v>
      </x:c>
      <x:c r="S176" s="7" t="n">
        <x:v>1</x:v>
      </x:c>
      <x:c r="T176" s="23" t="n">
        <x:v>1</x:v>
      </x:c>
      <x:c r="U176" s="7" t="n">
        <x:v>0</x:v>
      </x:c>
      <x:c r="V176" s="7" t="n">
        <x:v>0</x:v>
      </x:c>
      <x:c r="W176" s="7" t="str">
        <x:v>https://parks.portlandciviclab.org/parks/maint-facility-21st-and-pacific-450</x:v>
      </x:c>
    </x:row>
    <x:row r="177" ht="23" customHeight="1">
      <x:c r="A177" s="8" t="str">
        <x:v>1388</x:v>
      </x:c>
      <x:c r="B177" s="8" t="str">
        <x:v>Maint Facility - 89th and Flavel</x:v>
      </x:c>
      <x:c r="C177" s="8" t="str">
        <x:v>maintenance-yard</x:v>
      </x:c>
      <x:c r="D177" s="8" t="str">
        <x:v>District 1</x:v>
      </x:c>
      <x:c r="E177" s="18" t="n">
        <x:v>1.89971442</x:v>
      </x:c>
      <x:c r="F177" s="8" t="n">
        <x:v>1</x:v>
      </x:c>
      <x:c r="G177" s="8" t="n">
        <x:v>0</x:v>
      </x:c>
      <x:c r="H177" s="8" t="n">
        <x:v>0</x:v>
      </x:c>
      <x:c r="I177" s="8" t="n">
        <x:v>0</x:v>
      </x:c>
      <x:c r="J177" s="8" t="n">
        <x:v>0</x:v>
      </x:c>
      <x:c r="K177" s="8" t="n">
        <x:v>0</x:v>
      </x:c>
      <x:c r="L177" s="24" t="n">
        <x:f>F177*'Service inputs'!B73*'Service inputs'!C73</x:f>
        <x:v>130</x:v>
      </x:c>
      <x:c r="M177" s="24" t="n">
        <x:f>F177*E177*'Service inputs'!D73</x:f>
        <x:v>0.09498572100000001</x:v>
      </x:c>
      <x:c r="N177" s="24" t="n">
        <x:f>F177*E177*'Service inputs'!E73</x:f>
        <x:v>0.0189971442</x:v>
      </x:c>
      <x:c r="O177" s="24" t="n">
        <x:f>F177*E177*'Service inputs'!F73</x:f>
        <x:v>0</x:v>
      </x:c>
      <x:c r="P177" s="24" t="n">
        <x:f>L177+F177*G177*'Service inputs'!$B$17*'Service inputs'!$B$18*'Service inputs'!$B$19+M177*('Service inputs'!$B$20*'Service inputs'!$B$21+'Service inputs'!$B$22)+N177*'Service inputs'!$B$23+F177*(H177*'Service inputs'!$B$28*'Service inputs'!$B$29+I177*'Service inputs'!$B$24*'Service inputs'!$B$25+J177*'Service inputs'!$B$26*'Service inputs'!$B$27+K177*'Service inputs'!$B$30*'Service inputs'!$B$31)</x:f>
        <x:v>134.46432888700002</x:v>
      </x:c>
      <x:c r="Q177" s="24" t="n">
        <x:f>O177/SUM($O$5:$O$320)*SUMIF(Workload!$A$5:$A$40,"Ecology",Workload!$G$5:$G$40)</x:f>
        <x:v>0</x:v>
      </x:c>
      <x:c r="R177" s="25" t="n">
        <x:f>P177/SUMIF(Workload!$A$5:$A$40,"Grounds",Workload!$G$5:$G$40)*Staffing!$J$5+Q177/SUMIF(Workload!$A$5:$A$40,"Ecology",Workload!$G$5:$G$40)*Staffing!$J$7</x:f>
        <x:v>13666.128436121535</x:v>
      </x:c>
      <x:c r="S177" s="8" t="n">
        <x:v>5</x:v>
      </x:c>
      <x:c r="T177" s="22" t="n">
        <x:v>0.6</x:v>
      </x:c>
      <x:c r="U177" s="8" t="n">
        <x:v>0</x:v>
      </x:c>
      <x:c r="V177" s="8" t="n">
        <x:v>0</x:v>
      </x:c>
      <x:c r="W177" s="8" t="str">
        <x:v>https://parks.portlandciviclab.org/parks/maint-facility-89th-and-flavel-1388</x:v>
      </x:c>
    </x:row>
    <x:row r="178" ht="23" customHeight="1">
      <x:c r="A178" s="7" t="str">
        <x:v>277</x:v>
      </x:c>
      <x:c r="B178" s="7" t="str">
        <x:v>Maint Facility - Mt Tabor Yard</x:v>
      </x:c>
      <x:c r="C178" s="7" t="str">
        <x:v>maintenance-yard</x:v>
      </x:c>
      <x:c r="D178" s="7" t="str">
        <x:v>District 3</x:v>
      </x:c>
      <x:c r="E178" s="19" t="n">
        <x:v>8.52859088</x:v>
      </x:c>
      <x:c r="F178" s="7" t="n">
        <x:v>1</x:v>
      </x:c>
      <x:c r="G178" s="7" t="n">
        <x:v>0</x:v>
      </x:c>
      <x:c r="H178" s="7" t="n">
        <x:v>0</x:v>
      </x:c>
      <x:c r="I178" s="7" t="n">
        <x:v>0</x:v>
      </x:c>
      <x:c r="J178" s="7" t="n">
        <x:v>0</x:v>
      </x:c>
      <x:c r="K178" s="7" t="n">
        <x:v>0</x:v>
      </x:c>
      <x:c r="L178" s="26" t="n">
        <x:f>F178*'Service inputs'!B73*'Service inputs'!C73</x:f>
        <x:v>130</x:v>
      </x:c>
      <x:c r="M178" s="26" t="n">
        <x:f>F178*E178*'Service inputs'!D73</x:f>
        <x:v>0.426429544</x:v>
      </x:c>
      <x:c r="N178" s="26" t="n">
        <x:f>F178*E178*'Service inputs'!E73</x:f>
        <x:v>0.08528590879999999</x:v>
      </x:c>
      <x:c r="O178" s="26" t="n">
        <x:f>F178*E178*'Service inputs'!F73</x:f>
        <x:v>0</x:v>
      </x:c>
      <x:c r="P178" s="26" t="n">
        <x:f>L178+F178*G178*'Service inputs'!$B$17*'Service inputs'!$B$18*'Service inputs'!$B$19+M178*('Service inputs'!$B$20*'Service inputs'!$B$21+'Service inputs'!$B$22)+N178*'Service inputs'!$B$23+F178*(H178*'Service inputs'!$B$28*'Service inputs'!$B$29+I178*'Service inputs'!$B$24*'Service inputs'!$B$25+J178*'Service inputs'!$B$26*'Service inputs'!$B$27+K178*'Service inputs'!$B$30*'Service inputs'!$B$31)</x:f>
        <x:v>150.042188568</x:v>
      </x:c>
      <x:c r="Q178" s="26" t="n">
        <x:f>O178/SUM($O$5:$O$320)*SUMIF(Workload!$A$5:$A$40,"Ecology",Workload!$G$5:$G$40)</x:f>
        <x:v>0</x:v>
      </x:c>
      <x:c r="R178" s="27" t="n">
        <x:f>P178/SUMIF(Workload!$A$5:$A$40,"Grounds",Workload!$G$5:$G$40)*Staffing!$J$5+Q178/SUMIF(Workload!$A$5:$A$40,"Ecology",Workload!$G$5:$G$40)*Staffing!$J$7</x:f>
        <x:v>15249.366406537694</x:v>
      </x:c>
      <x:c r="S178" s="7" t="n">
        <x:v>45</x:v>
      </x:c>
      <x:c r="T178" s="23" t="n">
        <x:v>0.26666666666666666</x:v>
      </x:c>
      <x:c r="U178" s="7" t="n">
        <x:v>0</x:v>
      </x:c>
      <x:c r="V178" s="7" t="n">
        <x:v>0</x:v>
      </x:c>
      <x:c r="W178" s="7" t="str">
        <x:v>https://parks.portlandciviclab.org/parks/maint-facility-mt-tabor-yard-277</x:v>
      </x:c>
    </x:row>
    <x:row r="179" ht="23" customHeight="1">
      <x:c r="A179" s="8" t="str">
        <x:v>675</x:v>
      </x:c>
      <x:c r="B179" s="8" t="str">
        <x:v>Maint Facility - SE 136th and Holgate</x:v>
      </x:c>
      <x:c r="C179" s="8" t="str">
        <x:v>maintenance-yard</x:v>
      </x:c>
      <x:c r="D179" s="8" t="str">
        <x:v>District 1</x:v>
      </x:c>
      <x:c r="E179" s="18" t="n">
        <x:v>0.70797609</x:v>
      </x:c>
      <x:c r="F179" s="8" t="n">
        <x:v>1</x:v>
      </x:c>
      <x:c r="G179" s="8" t="n">
        <x:v>0</x:v>
      </x:c>
      <x:c r="H179" s="8" t="n">
        <x:v>0</x:v>
      </x:c>
      <x:c r="I179" s="8" t="n">
        <x:v>0</x:v>
      </x:c>
      <x:c r="J179" s="8" t="n">
        <x:v>0</x:v>
      </x:c>
      <x:c r="K179" s="8" t="n">
        <x:v>0</x:v>
      </x:c>
      <x:c r="L179" s="24" t="n">
        <x:f>F179*'Service inputs'!B73*'Service inputs'!C73</x:f>
        <x:v>130</x:v>
      </x:c>
      <x:c r="M179" s="24" t="n">
        <x:f>F179*E179*'Service inputs'!D73</x:f>
        <x:v>0.0353988045</x:v>
      </x:c>
      <x:c r="N179" s="24" t="n">
        <x:f>F179*E179*'Service inputs'!E73</x:f>
        <x:v>0.0070797609</x:v>
      </x:c>
      <x:c r="O179" s="24" t="n">
        <x:f>F179*E179*'Service inputs'!F73</x:f>
        <x:v>0</x:v>
      </x:c>
      <x:c r="P179" s="24" t="n">
        <x:f>L179+F179*G179*'Service inputs'!$B$17*'Service inputs'!$B$18*'Service inputs'!$B$19+M179*('Service inputs'!$B$20*'Service inputs'!$B$21+'Service inputs'!$B$22)+N179*'Service inputs'!$B$23+F179*(H179*'Service inputs'!$B$28*'Service inputs'!$B$29+I179*'Service inputs'!$B$24*'Service inputs'!$B$25+J179*'Service inputs'!$B$26*'Service inputs'!$B$27+K179*'Service inputs'!$B$30*'Service inputs'!$B$31)</x:f>
        <x:v>131.6637438115</x:v>
      </x:c>
      <x:c r="Q179" s="24" t="n">
        <x:f>O179/SUM($O$5:$O$320)*SUMIF(Workload!$A$5:$A$40,"Ecology",Workload!$G$5:$G$40)</x:f>
        <x:v>0</x:v>
      </x:c>
      <x:c r="R179" s="25" t="n">
        <x:f>P179/SUMIF(Workload!$A$5:$A$40,"Grounds",Workload!$G$5:$G$40)*Staffing!$J$5+Q179/SUMIF(Workload!$A$5:$A$40,"Ecology",Workload!$G$5:$G$40)*Staffing!$J$7</x:f>
        <x:v>13381.494171741784</x:v>
      </x:c>
      <x:c r="S179" s="8" t="n">
        <x:v>2</x:v>
      </x:c>
      <x:c r="T179" s="22" t="n">
        <x:v>0.5</x:v>
      </x:c>
      <x:c r="U179" s="8" t="n">
        <x:v>0</x:v>
      </x:c>
      <x:c r="V179" s="8" t="n">
        <x:v>0</x:v>
      </x:c>
      <x:c r="W179" s="8" t="str">
        <x:v>https://parks.portlandciviclab.org/parks/maint-facility-se-136th-and-holgate-675</x:v>
      </x:c>
    </x:row>
    <x:row r="180" ht="23" customHeight="1">
      <x:c r="A180" s="7" t="str">
        <x:v>248</x:v>
      </x:c>
      <x:c r="B180" s="7" t="str">
        <x:v>Mallory Meadows Park</x:v>
      </x:c>
      <x:c r="C180" s="7" t="str">
        <x:v>developed-park</x:v>
      </x:c>
      <x:c r="D180" s="7" t="str">
        <x:v>District 2</x:v>
      </x:c>
      <x:c r="E180" s="19" t="n">
        <x:v>0.1794049</x:v>
      </x:c>
      <x:c r="F180" s="7" t="n">
        <x:v>1</x:v>
      </x:c>
      <x:c r="G180" s="7" t="n">
        <x:v>0</x:v>
      </x:c>
      <x:c r="H180" s="7" t="n">
        <x:v>1</x:v>
      </x:c>
      <x:c r="I180" s="7" t="n">
        <x:v>0</x:v>
      </x:c>
      <x:c r="J180" s="7" t="n">
        <x:v>0</x:v>
      </x:c>
      <x:c r="K180" s="7" t="n">
        <x:v>0</x:v>
      </x:c>
      <x:c r="L180" s="26" t="n">
        <x:f>F180*'Service inputs'!B65*'Service inputs'!C65</x:f>
        <x:v>547.5</x:v>
      </x:c>
      <x:c r="M180" s="26" t="n">
        <x:f>F180*E180*'Service inputs'!D65</x:f>
        <x:v>0.098672695</x:v>
      </x:c>
      <x:c r="N180" s="26" t="n">
        <x:f>F180*E180*'Service inputs'!E65</x:f>
        <x:v>0.008970245</x:v>
      </x:c>
      <x:c r="O180" s="26" t="n">
        <x:f>F180*E180*'Service inputs'!F65</x:f>
        <x:v>0.044851225</x:v>
      </x:c>
      <x:c r="P180" s="26" t="n">
        <x:f>L180+F180*G180*'Service inputs'!$B$17*'Service inputs'!$B$18*'Service inputs'!$B$19+M180*('Service inputs'!$B$20*'Service inputs'!$B$21+'Service inputs'!$B$22)+N180*'Service inputs'!$B$23+F180*(H180*'Service inputs'!$B$28*'Service inputs'!$B$29+I180*'Service inputs'!$B$24*'Service inputs'!$B$25+J180*'Service inputs'!$B$26*'Service inputs'!$B$27+K180*'Service inputs'!$B$30*'Service inputs'!$B$31)</x:f>
        <x:v>589.845901385</x:v>
      </x:c>
      <x:c r="Q180" s="26" t="n">
        <x:f>O180/SUM($O$5:$O$320)*SUMIF(Workload!$A$5:$A$40,"Ecology",Workload!$G$5:$G$40)</x:f>
        <x:v>0.47083509715787164</x:v>
      </x:c>
      <x:c r="R180" s="27" t="n">
        <x:f>P180/SUMIF(Workload!$A$5:$A$40,"Grounds",Workload!$G$5:$G$40)*Staffing!$J$5+Q180/SUMIF(Workload!$A$5:$A$40,"Ecology",Workload!$G$5:$G$40)*Staffing!$J$7</x:f>
        <x:v>60002.80586482189</x:v>
      </x:c>
      <x:c r="S180" s="7" t="n">
        <x:v>15</x:v>
      </x:c>
      <x:c r="T180" s="23" t="n">
        <x:v>0</x:v>
      </x:c>
      <x:c r="U180" s="7" t="n">
        <x:v>0</x:v>
      </x:c>
      <x:c r="V180" s="7" t="n">
        <x:v>0</x:v>
      </x:c>
      <x:c r="W180" s="7" t="str">
        <x:v>https://parks.portlandciviclab.org/parks/mallory-meadows-park-248</x:v>
      </x:c>
    </x:row>
    <x:row r="181" ht="23" customHeight="1">
      <x:c r="A181" s="8" t="str">
        <x:v>249</x:v>
      </x:c>
      <x:c r="B181" s="8" t="str">
        <x:v>Maricara Natural Area</x:v>
      </x:c>
      <x:c r="C181" s="8" t="str">
        <x:v>natural-area</x:v>
      </x:c>
      <x:c r="D181" s="8" t="str">
        <x:v>District 4</x:v>
      </x:c>
      <x:c r="E181" s="18" t="n">
        <x:v>17.25425883</x:v>
      </x:c>
      <x:c r="F181" s="8" t="n">
        <x:v>1</x:v>
      </x:c>
      <x:c r="G181" s="8" t="n">
        <x:v>0</x:v>
      </x:c>
      <x:c r="H181" s="8" t="n">
        <x:v>0</x:v>
      </x:c>
      <x:c r="I181" s="8" t="n">
        <x:v>0</x:v>
      </x:c>
      <x:c r="J181" s="8" t="n">
        <x:v>0</x:v>
      </x:c>
      <x:c r="K181" s="8" t="n">
        <x:v>0</x:v>
      </x:c>
      <x:c r="L181" s="24" t="n">
        <x:f>F181*'Service inputs'!B66*'Service inputs'!C66</x:f>
        <x:v>78</x:v>
      </x:c>
      <x:c r="M181" s="24" t="n">
        <x:f>F181*E181*'Service inputs'!D66</x:f>
        <x:v>0.08627129415000001</x:v>
      </x:c>
      <x:c r="N181" s="24" t="n">
        <x:f>F181*E181*'Service inputs'!E66</x:f>
        <x:v>0</x:v>
      </x:c>
      <x:c r="O181" s="24" t="n">
        <x:f>F181*E181*'Service inputs'!F66</x:f>
        <x:v>17.0817162417</x:v>
      </x:c>
      <x:c r="P181" s="24" t="n">
        <x:f>L181+F181*G181*'Service inputs'!$B$17*'Service inputs'!$B$18*'Service inputs'!$B$19+M181*('Service inputs'!$B$20*'Service inputs'!$B$21+'Service inputs'!$B$22)+N181*'Service inputs'!$B$23+F181*(H181*'Service inputs'!$B$28*'Service inputs'!$B$29+I181*'Service inputs'!$B$24*'Service inputs'!$B$25+J181*'Service inputs'!$B$26*'Service inputs'!$B$27+K181*'Service inputs'!$B$30*'Service inputs'!$B$31)</x:f>
        <x:v>79.98423976545</x:v>
      </x:c>
      <x:c r="Q181" s="24" t="n">
        <x:f>O181/SUM($O$5:$O$320)*SUMIF(Workload!$A$5:$A$40,"Ecology",Workload!$G$5:$G$40)</x:f>
        <x:v>179.31888206585245</x:v>
      </x:c>
      <x:c r="R181" s="25" t="n">
        <x:f>P181/SUMIF(Workload!$A$5:$A$40,"Grounds",Workload!$G$5:$G$40)*Staffing!$J$5+Q181/SUMIF(Workload!$A$5:$A$40,"Ecology",Workload!$G$5:$G$40)*Staffing!$J$7</x:f>
        <x:v>28882.386315453692</x:v>
      </x:c>
      <x:c r="S181" s="8" t="n">
        <x:v>16</x:v>
      </x:c>
      <x:c r="T181" s="22" t="n">
        <x:v>0.4375</x:v>
      </x:c>
      <x:c r="U181" s="8" t="n">
        <x:v>0</x:v>
      </x:c>
      <x:c r="V181" s="8" t="n">
        <x:v>0</x:v>
      </x:c>
      <x:c r="W181" s="8" t="str">
        <x:v>https://parks.portlandciviclab.org/parks/maricara-natural-area-249</x:v>
      </x:c>
    </x:row>
    <x:row r="182" ht="23" customHeight="1">
      <x:c r="A182" s="7" t="str">
        <x:v>1405</x:v>
      </x:c>
      <x:c r="B182" s="7" t="str">
        <x:v>Marine Drive Trail</x:v>
      </x:c>
      <x:c r="C182" s="7" t="str">
        <x:v>corridor</x:v>
      </x:c>
      <x:c r="D182" s="7" t="str">
        <x:v>District 2</x:v>
      </x:c>
      <x:c r="E182" s="19" t="n">
        <x:v>1.10069199</x:v>
      </x:c>
      <x:c r="F182" s="7" t="n">
        <x:v>1</x:v>
      </x:c>
      <x:c r="G182" s="7" t="n">
        <x:v>0</x:v>
      </x:c>
      <x:c r="H182" s="7" t="n">
        <x:v>0</x:v>
      </x:c>
      <x:c r="I182" s="7" t="n">
        <x:v>0</x:v>
      </x:c>
      <x:c r="J182" s="7" t="n">
        <x:v>0</x:v>
      </x:c>
      <x:c r="K182" s="7" t="n">
        <x:v>0</x:v>
      </x:c>
      <x:c r="L182" s="26" t="n">
        <x:f>F182*'Service inputs'!B70*'Service inputs'!C70</x:f>
        <x:v>104</x:v>
      </x:c>
      <x:c r="M182" s="26" t="n">
        <x:f>F182*E182*'Service inputs'!D70</x:f>
        <x:v>0.0330207597</x:v>
      </x:c>
      <x:c r="N182" s="26" t="n">
        <x:f>F182*E182*'Service inputs'!E70</x:f>
        <x:v>0.0110069199</x:v>
      </x:c>
      <x:c r="O182" s="26" t="n">
        <x:f>F182*E182*'Service inputs'!F70</x:f>
        <x:v>0.9355881915</x:v>
      </x:c>
      <x:c r="P182" s="26" t="n">
        <x:f>L182+F182*G182*'Service inputs'!$B$17*'Service inputs'!$B$18*'Service inputs'!$B$19+M182*('Service inputs'!$B$20*'Service inputs'!$B$21+'Service inputs'!$B$22)+N182*'Service inputs'!$B$23+F182*(H182*'Service inputs'!$B$28*'Service inputs'!$B$29+I182*'Service inputs'!$B$24*'Service inputs'!$B$25+J182*'Service inputs'!$B$26*'Service inputs'!$B$27+K182*'Service inputs'!$B$30*'Service inputs'!$B$31)</x:f>
        <x:v>106.08030786110001</x:v>
      </x:c>
      <x:c r="Q182" s="26" t="n">
        <x:f>O182/SUM($O$5:$O$320)*SUMIF(Workload!$A$5:$A$40,"Ecology",Workload!$G$5:$G$40)</x:f>
        <x:v>9.82153234487263</x:v>
      </x:c>
      <x:c r="R182" s="27" t="n">
        <x:f>P182/SUMIF(Workload!$A$5:$A$40,"Grounds",Workload!$G$5:$G$40)*Staffing!$J$5+Q182/SUMIF(Workload!$A$5:$A$40,"Ecology",Workload!$G$5:$G$40)*Staffing!$J$7</x:f>
        <x:v>11918.035455771678</x:v>
      </x:c>
      <x:c r="S182" s="7" t="n">
        <x:v>1</x:v>
      </x:c>
      <x:c r="T182" s="23" t="n">
        <x:v>0</x:v>
      </x:c>
      <x:c r="U182" s="7" t="n">
        <x:v>0</x:v>
      </x:c>
      <x:c r="V182" s="7" t="n">
        <x:v>0</x:v>
      </x:c>
      <x:c r="W182" s="7" t="str">
        <x:v>https://parks.portlandciviclab.org/parks/marine-drive-trail-1405</x:v>
      </x:c>
    </x:row>
    <x:row r="183" ht="23" customHeight="1">
      <x:c r="A183" s="8" t="str">
        <x:v>251</x:v>
      </x:c>
      <x:c r="B183" s="8" t="str">
        <x:v>Marquam Nature Park</x:v>
      </x:c>
      <x:c r="C183" s="8" t="str">
        <x:v>natural-area</x:v>
      </x:c>
      <x:c r="D183" s="8" t="str">
        <x:v>District 4</x:v>
      </x:c>
      <x:c r="E183" s="18" t="n">
        <x:v>204.98802425</x:v>
      </x:c>
      <x:c r="F183" s="8" t="n">
        <x:v>1</x:v>
      </x:c>
      <x:c r="G183" s="8" t="n">
        <x:v>0</x:v>
      </x:c>
      <x:c r="H183" s="8" t="n">
        <x:v>0</x:v>
      </x:c>
      <x:c r="I183" s="8" t="n">
        <x:v>0</x:v>
      </x:c>
      <x:c r="J183" s="8" t="n">
        <x:v>0</x:v>
      </x:c>
      <x:c r="K183" s="8" t="n">
        <x:v>0</x:v>
      </x:c>
      <x:c r="L183" s="24" t="n">
        <x:f>F183*'Service inputs'!B66*'Service inputs'!C66</x:f>
        <x:v>78</x:v>
      </x:c>
      <x:c r="M183" s="24" t="n">
        <x:f>F183*E183*'Service inputs'!D66</x:f>
        <x:v>1.02494012125</x:v>
      </x:c>
      <x:c r="N183" s="24" t="n">
        <x:f>F183*E183*'Service inputs'!E66</x:f>
        <x:v>0</x:v>
      </x:c>
      <x:c r="O183" s="24" t="n">
        <x:f>F183*E183*'Service inputs'!F66</x:f>
        <x:v>202.9381440075</x:v>
      </x:c>
      <x:c r="P183" s="24" t="n">
        <x:f>L183+F183*G183*'Service inputs'!$B$17*'Service inputs'!$B$18*'Service inputs'!$B$19+M183*('Service inputs'!$B$20*'Service inputs'!$B$21+'Service inputs'!$B$22)+N183*'Service inputs'!$B$23+F183*(H183*'Service inputs'!$B$28*'Service inputs'!$B$29+I183*'Service inputs'!$B$24*'Service inputs'!$B$25+J183*'Service inputs'!$B$26*'Service inputs'!$B$27+K183*'Service inputs'!$B$30*'Service inputs'!$B$31)</x:f>
        <x:v>101.57362278875</x:v>
      </x:c>
      <x:c r="Q183" s="24" t="n">
        <x:f>O183/SUM($O$5:$O$320)*SUMIF(Workload!$A$5:$A$40,"Ecology",Workload!$G$5:$G$40)</x:f>
        <x:v>2130.3855301791514</x:v>
      </x:c>
      <x:c r="R183" s="25" t="n">
        <x:f>P183/SUMIF(Workload!$A$5:$A$40,"Grounds",Workload!$G$5:$G$40)*Staffing!$J$5+Q183/SUMIF(Workload!$A$5:$A$40,"Ecology",Workload!$G$5:$G$40)*Staffing!$J$7</x:f>
        <x:v>256881.21542272682</x:v>
      </x:c>
      <x:c r="S183" s="8" t="n">
        <x:v>1</x:v>
      </x:c>
      <x:c r="T183" s="22" t="n">
        <x:v>1</x:v>
      </x:c>
      <x:c r="U183" s="8" t="n">
        <x:v>0</x:v>
      </x:c>
      <x:c r="V183" s="8" t="n">
        <x:v>1</x:v>
      </x:c>
      <x:c r="W183" s="8" t="str">
        <x:v>https://parks.portlandciviclab.org/parks/marquam-nature-park-251</x:v>
      </x:c>
    </x:row>
    <x:row r="184" ht="23" customHeight="1">
      <x:c r="A184" s="7" t="str">
        <x:v>1500</x:v>
      </x:c>
      <x:c r="B184" s="7" t="str">
        <x:v>Marquam Trail</x:v>
      </x:c>
      <x:c r="C184" s="7" t="str">
        <x:v>corridor</x:v>
      </x:c>
      <x:c r="D184" s="7" t="str">
        <x:v>District 4</x:v>
      </x:c>
      <x:c r="E184" s="19" t="n">
        <x:v>25.86739886</x:v>
      </x:c>
      <x:c r="F184" s="7" t="n">
        <x:v>1</x:v>
      </x:c>
      <x:c r="G184" s="7" t="n">
        <x:v>0</x:v>
      </x:c>
      <x:c r="H184" s="7" t="n">
        <x:v>0</x:v>
      </x:c>
      <x:c r="I184" s="7" t="n">
        <x:v>0</x:v>
      </x:c>
      <x:c r="J184" s="7" t="n">
        <x:v>0</x:v>
      </x:c>
      <x:c r="K184" s="7" t="n">
        <x:v>0</x:v>
      </x:c>
      <x:c r="L184" s="26" t="n">
        <x:f>F184*'Service inputs'!B70*'Service inputs'!C70</x:f>
        <x:v>104</x:v>
      </x:c>
      <x:c r="M184" s="26" t="n">
        <x:f>F184*E184*'Service inputs'!D70</x:f>
        <x:v>0.7760219658</x:v>
      </x:c>
      <x:c r="N184" s="26" t="n">
        <x:f>F184*E184*'Service inputs'!E70</x:f>
        <x:v>0.2586739886</x:v>
      </x:c>
      <x:c r="O184" s="26" t="n">
        <x:f>F184*E184*'Service inputs'!F70</x:f>
        <x:v>21.987289031</x:v>
      </x:c>
      <x:c r="P184" s="26" t="n">
        <x:f>L184+F184*G184*'Service inputs'!$B$17*'Service inputs'!$B$18*'Service inputs'!$B$19+M184*('Service inputs'!$B$20*'Service inputs'!$B$21+'Service inputs'!$B$22)+N184*'Service inputs'!$B$23+F184*(H184*'Service inputs'!$B$28*'Service inputs'!$B$29+I184*'Service inputs'!$B$24*'Service inputs'!$B$25+J184*'Service inputs'!$B$26*'Service inputs'!$B$27+K184*'Service inputs'!$B$30*'Service inputs'!$B$31)</x:f>
        <x:v>152.8893838454</x:v>
      </x:c>
      <x:c r="Q184" s="26" t="n">
        <x:f>O184/SUM($O$5:$O$320)*SUMIF(Workload!$A$5:$A$40,"Ecology",Workload!$G$5:$G$40)</x:f>
        <x:v>230.8161564628188</x:v>
      </x:c>
      <x:c r="R184" s="27" t="n">
        <x:f>P184/SUMIF(Workload!$A$5:$A$40,"Grounds",Workload!$G$5:$G$40)*Staffing!$J$5+Q184/SUMIF(Workload!$A$5:$A$40,"Ecology",Workload!$G$5:$G$40)*Staffing!$J$7</x:f>
        <x:v>42251.99944463861</x:v>
      </x:c>
      <x:c r="S184" s="7" t="n">
        <x:v>0</x:v>
      </x:c>
      <x:c r="T184" s="23" t="n">
        <x:v>0</x:v>
      </x:c>
      <x:c r="U184" s="7" t="n">
        <x:v>0</x:v>
      </x:c>
      <x:c r="V184" s="7" t="n">
        <x:v>0</x:v>
      </x:c>
      <x:c r="W184" s="7" t="str">
        <x:v>https://parks.portlandciviclab.org/parks/marquam-trail-1500</x:v>
      </x:c>
    </x:row>
    <x:row r="185" ht="23" customHeight="1">
      <x:c r="A185" s="8" t="str">
        <x:v>252</x:v>
      </x:c>
      <x:c r="B185" s="8" t="str">
        <x:v>Marshall Park</x:v>
      </x:c>
      <x:c r="C185" s="8" t="str">
        <x:v>natural-area</x:v>
      </x:c>
      <x:c r="D185" s="8" t="str">
        <x:v>District 4</x:v>
      </x:c>
      <x:c r="E185" s="18" t="n">
        <x:v>25.99971999</x:v>
      </x:c>
      <x:c r="F185" s="8" t="n">
        <x:v>1</x:v>
      </x:c>
      <x:c r="G185" s="8" t="n">
        <x:v>0</x:v>
      </x:c>
      <x:c r="H185" s="8" t="n">
        <x:v>1</x:v>
      </x:c>
      <x:c r="I185" s="8" t="n">
        <x:v>0</x:v>
      </x:c>
      <x:c r="J185" s="8" t="n">
        <x:v>0</x:v>
      </x:c>
      <x:c r="K185" s="8" t="n">
        <x:v>0</x:v>
      </x:c>
      <x:c r="L185" s="24" t="n">
        <x:f>F185*'Service inputs'!B66*'Service inputs'!C66</x:f>
        <x:v>78</x:v>
      </x:c>
      <x:c r="M185" s="24" t="n">
        <x:f>F185*E185*'Service inputs'!D66</x:f>
        <x:v>0.12999859995</x:v>
      </x:c>
      <x:c r="N185" s="24" t="n">
        <x:f>F185*E185*'Service inputs'!E66</x:f>
        <x:v>0</x:v>
      </x:c>
      <x:c r="O185" s="24" t="n">
        <x:f>F185*E185*'Service inputs'!F66</x:f>
        <x:v>25.7397227901</x:v>
      </x:c>
      <x:c r="P185" s="24" t="n">
        <x:f>L185+F185*G185*'Service inputs'!$B$17*'Service inputs'!$B$18*'Service inputs'!$B$19+M185*('Service inputs'!$B$20*'Service inputs'!$B$21+'Service inputs'!$B$22)+N185*'Service inputs'!$B$23+F185*(H185*'Service inputs'!$B$28*'Service inputs'!$B$29+I185*'Service inputs'!$B$24*'Service inputs'!$B$25+J185*'Service inputs'!$B$26*'Service inputs'!$B$27+K185*'Service inputs'!$B$30*'Service inputs'!$B$31)</x:f>
        <x:v>119.98996779885</x:v>
      </x:c>
      <x:c r="Q185" s="24" t="n">
        <x:f>O185/SUM($O$5:$O$320)*SUMIF(Workload!$A$5:$A$40,"Ecology",Workload!$G$5:$G$40)</x:f>
        <x:v>270.20811317179</x:v>
      </x:c>
      <x:c r="R185" s="25" t="n">
        <x:f>P185/SUMIF(Workload!$A$5:$A$40,"Grounds",Workload!$G$5:$G$40)*Staffing!$J$5+Q185/SUMIF(Workload!$A$5:$A$40,"Ecology",Workload!$G$5:$G$40)*Staffing!$J$7</x:f>
        <x:v>43467.29096400299</x:v>
      </x:c>
      <x:c r="S185" s="8" t="n">
        <x:v>13</x:v>
      </x:c>
      <x:c r="T185" s="22" t="n">
        <x:v>0.3076923076923077</x:v>
      </x:c>
      <x:c r="U185" s="8" t="n">
        <x:v>0</x:v>
      </x:c>
      <x:c r="V185" s="8" t="n">
        <x:v>0</x:v>
      </x:c>
      <x:c r="W185" s="8" t="str">
        <x:v>https://parks.portlandciviclab.org/parks/marshall-park-252</x:v>
      </x:c>
    </x:row>
    <x:row r="186" ht="23" customHeight="1">
      <x:c r="A186" s="7" t="str">
        <x:v>1117</x:v>
      </x:c>
      <x:c r="B186" s="7" t="str">
        <x:v>Matt Dishman Community Center and Pool</x:v>
      </x:c>
      <x:c r="C186" s="7" t="str">
        <x:v>facility-site</x:v>
      </x:c>
      <x:c r="D186" s="7" t="str">
        <x:v>District 2</x:v>
      </x:c>
      <x:c r="E186" s="19" t="n">
        <x:v>1.61843812</x:v>
      </x:c>
      <x:c r="F186" s="7" t="n">
        <x:v>1</x:v>
      </x:c>
      <x:c r="G186" s="7" t="n">
        <x:v>0</x:v>
      </x:c>
      <x:c r="H186" s="7" t="n">
        <x:v>0</x:v>
      </x:c>
      <x:c r="I186" s="7" t="n">
        <x:v>0</x:v>
      </x:c>
      <x:c r="J186" s="7" t="n">
        <x:v>1</x:v>
      </x:c>
      <x:c r="K186" s="7" t="n">
        <x:v>0</x:v>
      </x:c>
      <x:c r="L186" s="26" t="n">
        <x:f>F186*'Service inputs'!B69*'Service inputs'!C69</x:f>
        <x:v>260</x:v>
      </x:c>
      <x:c r="M186" s="26" t="n">
        <x:f>F186*E186*'Service inputs'!D69</x:f>
        <x:v>0.161843812</x:v>
      </x:c>
      <x:c r="N186" s="26" t="n">
        <x:f>F186*E186*'Service inputs'!E69</x:f>
        <x:v>0.161843812</x:v>
      </x:c>
      <x:c r="O186" s="26" t="n">
        <x:f>F186*E186*'Service inputs'!F69</x:f>
        <x:v>0</x:v>
      </x:c>
      <x:c r="P186" s="26" t="n">
        <x:f>L186+F186*G186*'Service inputs'!$B$17*'Service inputs'!$B$18*'Service inputs'!$B$19+M186*('Service inputs'!$B$20*'Service inputs'!$B$21+'Service inputs'!$B$22)+N186*'Service inputs'!$B$23+F186*(H186*'Service inputs'!$B$28*'Service inputs'!$B$29+I186*'Service inputs'!$B$24*'Service inputs'!$B$25+J186*'Service inputs'!$B$26*'Service inputs'!$B$27+K186*'Service inputs'!$B$30*'Service inputs'!$B$31)</x:f>
        <x:v>301.14366511599997</x:v>
      </x:c>
      <x:c r="Q186" s="26" t="n">
        <x:f>O186/SUM($O$5:$O$320)*SUMIF(Workload!$A$5:$A$40,"Ecology",Workload!$G$5:$G$40)</x:f>
        <x:v>0</x:v>
      </x:c>
      <x:c r="R186" s="27" t="n">
        <x:f>P186/SUMIF(Workload!$A$5:$A$40,"Grounds",Workload!$G$5:$G$40)*Staffing!$J$5+Q186/SUMIF(Workload!$A$5:$A$40,"Ecology",Workload!$G$5:$G$40)*Staffing!$J$7</x:f>
        <x:v>30606.392336648252</x:v>
      </x:c>
      <x:c r="S186" s="7" t="n">
        <x:v>19</x:v>
      </x:c>
      <x:c r="T186" s="23" t="n">
        <x:v>0.15789473684210525</x:v>
      </x:c>
      <x:c r="U186" s="7" t="n">
        <x:v>0</x:v>
      </x:c>
      <x:c r="V186" s="7" t="n">
        <x:v>0</x:v>
      </x:c>
      <x:c r="W186" s="7" t="str">
        <x:v>https://parks.portlandciviclab.org/parks/matt-dishman-community-center-and-pool-1117</x:v>
      </x:c>
    </x:row>
    <x:row r="187" ht="23" customHeight="1">
      <x:c r="A187" s="8" t="str">
        <x:v>1258</x:v>
      </x:c>
      <x:c r="B187" s="8" t="str">
        <x:v>McCoy Park</x:v>
      </x:c>
      <x:c r="C187" s="8" t="str">
        <x:v>developed-park</x:v>
      </x:c>
      <x:c r="D187" s="8" t="str">
        <x:v>District 2</x:v>
      </x:c>
      <x:c r="E187" s="18" t="n">
        <x:v>3.82282617</x:v>
      </x:c>
      <x:c r="F187" s="8" t="n">
        <x:v>1</x:v>
      </x:c>
      <x:c r="G187" s="8" t="n">
        <x:v>1</x:v>
      </x:c>
      <x:c r="H187" s="8" t="n">
        <x:v>1</x:v>
      </x:c>
      <x:c r="I187" s="8" t="n">
        <x:v>0</x:v>
      </x:c>
      <x:c r="J187" s="8" t="n">
        <x:v>1</x:v>
      </x:c>
      <x:c r="K187" s="8" t="n">
        <x:v>1</x:v>
      </x:c>
      <x:c r="L187" s="24" t="n">
        <x:f>F187*'Service inputs'!B65*'Service inputs'!C65</x:f>
        <x:v>547.5</x:v>
      </x:c>
      <x:c r="M187" s="24" t="n">
        <x:f>F187*E187*'Service inputs'!D65</x:f>
        <x:v>2.1025543935</x:v>
      </x:c>
      <x:c r="N187" s="24" t="n">
        <x:f>F187*E187*'Service inputs'!E65</x:f>
        <x:v>0.1911413085</x:v>
      </x:c>
      <x:c r="O187" s="24" t="n">
        <x:f>F187*E187*'Service inputs'!F65</x:f>
        <x:v>0.9557065425</x:v>
      </x:c>
      <x:c r="P187" s="24" t="n">
        <x:f>L187+F187*G187*'Service inputs'!$B$17*'Service inputs'!$B$18*'Service inputs'!$B$19+M187*('Service inputs'!$B$20*'Service inputs'!$B$21+'Service inputs'!$B$22)+N187*'Service inputs'!$B$23+F187*(H187*'Service inputs'!$B$28*'Service inputs'!$B$29+I187*'Service inputs'!$B$24*'Service inputs'!$B$25+J187*'Service inputs'!$B$26*'Service inputs'!$B$27+K187*'Service inputs'!$B$30*'Service inputs'!$B$31)</x:f>
        <x:v>1045.5457080705</x:v>
      </x:c>
      <x:c r="Q187" s="24" t="n">
        <x:f>O187/SUM($O$5:$O$320)*SUMIF(Workload!$A$5:$A$40,"Ecology",Workload!$G$5:$G$40)</x:f>
        <x:v>10.03272893421308</x:v>
      </x:c>
      <x:c r="R187" s="25" t="n">
        <x:f>P187/SUMIF(Workload!$A$5:$A$40,"Grounds",Workload!$G$5:$G$40)*Staffing!$J$5+Q187/SUMIF(Workload!$A$5:$A$40,"Ecology",Workload!$G$5:$G$40)*Staffing!$J$7</x:f>
        <x:v>107423.97064513878</x:v>
      </x:c>
      <x:c r="S187" s="8" t="n">
        <x:v>175</x:v>
      </x:c>
      <x:c r="T187" s="22" t="n">
        <x:v>0.08571428571428572</x:v>
      </x:c>
      <x:c r="U187" s="8" t="n">
        <x:v>0</x:v>
      </x:c>
      <x:c r="V187" s="8" t="n">
        <x:v>2</x:v>
      </x:c>
      <x:c r="W187" s="8" t="str">
        <x:v>https://parks.portlandciviclab.org/parks/mccoy-park-1258</x:v>
      </x:c>
    </x:row>
    <x:row r="188" ht="23" customHeight="1">
      <x:c r="A188" s="7" t="str">
        <x:v>259</x:v>
      </x:c>
      <x:c r="B188" s="7" t="str">
        <x:v>McKenna Park</x:v>
      </x:c>
      <x:c r="C188" s="7" t="str">
        <x:v>developed-park</x:v>
      </x:c>
      <x:c r="D188" s="7" t="str">
        <x:v>District 2</x:v>
      </x:c>
      <x:c r="E188" s="19" t="n">
        <x:v>4.51985265</x:v>
      </x:c>
      <x:c r="F188" s="7" t="n">
        <x:v>1</x:v>
      </x:c>
      <x:c r="G188" s="7" t="n">
        <x:v>1</x:v>
      </x:c>
      <x:c r="H188" s="7" t="n">
        <x:v>1</x:v>
      </x:c>
      <x:c r="I188" s="7" t="n">
        <x:v>3</x:v>
      </x:c>
      <x:c r="J188" s="7" t="n">
        <x:v>1</x:v>
      </x:c>
      <x:c r="K188" s="7" t="n">
        <x:v>0</x:v>
      </x:c>
      <x:c r="L188" s="26" t="n">
        <x:f>F188*'Service inputs'!B65*'Service inputs'!C65</x:f>
        <x:v>547.5</x:v>
      </x:c>
      <x:c r="M188" s="26" t="n">
        <x:f>F188*E188*'Service inputs'!D65</x:f>
        <x:v>2.4859189575</x:v>
      </x:c>
      <x:c r="N188" s="26" t="n">
        <x:f>F188*E188*'Service inputs'!E65</x:f>
        <x:v>0.2259926325</x:v>
      </x:c>
      <x:c r="O188" s="26" t="n">
        <x:f>F188*E188*'Service inputs'!F65</x:f>
        <x:v>1.1299631625</x:v>
      </x:c>
      <x:c r="P188" s="26" t="n">
        <x:f>L188+F188*G188*'Service inputs'!$B$17*'Service inputs'!$B$18*'Service inputs'!$B$19+M188*('Service inputs'!$B$20*'Service inputs'!$B$21+'Service inputs'!$B$22)+N188*'Service inputs'!$B$23+F188*(H188*'Service inputs'!$B$28*'Service inputs'!$B$29+I188*'Service inputs'!$B$24*'Service inputs'!$B$25+J188*'Service inputs'!$B$26*'Service inputs'!$B$27+K188*'Service inputs'!$B$30*'Service inputs'!$B$31)</x:f>
        <x:v>1325.5452519225</x:v>
      </x:c>
      <x:c r="Q188" s="26" t="n">
        <x:f>O188/SUM($O$5:$O$320)*SUMIF(Workload!$A$5:$A$40,"Ecology",Workload!$G$5:$G$40)</x:f>
        <x:v>11.862024178837999</x:v>
      </x:c>
      <x:c r="R188" s="27" t="n">
        <x:f>P188/SUMIF(Workload!$A$5:$A$40,"Grounds",Workload!$G$5:$G$40)*Staffing!$J$5+Q188/SUMIF(Workload!$A$5:$A$40,"Ecology",Workload!$G$5:$G$40)*Staffing!$J$7</x:f>
        <x:v>136093.11590840726</x:v>
      </x:c>
      <x:c r="S188" s="7" t="n">
        <x:v>66</x:v>
      </x:c>
      <x:c r="T188" s="23" t="n">
        <x:v>0.3181818181818182</x:v>
      </x:c>
      <x:c r="U188" s="7" t="n">
        <x:v>2</x:v>
      </x:c>
      <x:c r="V188" s="7" t="n">
        <x:v>0</x:v>
      </x:c>
      <x:c r="W188" s="7" t="str">
        <x:v>https://parks.portlandciviclab.org/parks/mckenna-park-259</x:v>
      </x:c>
    </x:row>
    <x:row r="189" ht="23" customHeight="1">
      <x:c r="A189" s="8" t="str">
        <x:v>261</x:v>
      </x:c>
      <x:c r="B189" s="8" t="str">
        <x:v>Merrifield Park</x:v>
      </x:c>
      <x:c r="C189" s="8" t="str">
        <x:v>developed-park</x:v>
      </x:c>
      <x:c r="D189" s="8" t="str">
        <x:v>District 1</x:v>
      </x:c>
      <x:c r="E189" s="18" t="n">
        <x:v>0.95016375</x:v>
      </x:c>
      <x:c r="F189" s="8" t="n">
        <x:v>1</x:v>
      </x:c>
      <x:c r="G189" s="8" t="n">
        <x:v>0</x:v>
      </x:c>
      <x:c r="H189" s="8" t="n">
        <x:v>1</x:v>
      </x:c>
      <x:c r="I189" s="8" t="n">
        <x:v>1</x:v>
      </x:c>
      <x:c r="J189" s="8" t="n">
        <x:v>0</x:v>
      </x:c>
      <x:c r="K189" s="8" t="n">
        <x:v>0</x:v>
      </x:c>
      <x:c r="L189" s="24" t="n">
        <x:f>F189*'Service inputs'!B65*'Service inputs'!C65</x:f>
        <x:v>547.5</x:v>
      </x:c>
      <x:c r="M189" s="24" t="n">
        <x:f>F189*E189*'Service inputs'!D65</x:f>
        <x:v>0.5225900625000001</x:v>
      </x:c>
      <x:c r="N189" s="24" t="n">
        <x:f>F189*E189*'Service inputs'!E65</x:f>
        <x:v>0.0475081875</x:v>
      </x:c>
      <x:c r="O189" s="24" t="n">
        <x:f>F189*E189*'Service inputs'!F65</x:f>
        <x:v>0.2375409375</x:v>
      </x:c>
      <x:c r="P189" s="24" t="n">
        <x:f>L189+F189*G189*'Service inputs'!$B$17*'Service inputs'!$B$18*'Service inputs'!$B$19+M189*('Service inputs'!$B$20*'Service inputs'!$B$21+'Service inputs'!$B$22)+N189*'Service inputs'!$B$23+F189*(H189*'Service inputs'!$B$28*'Service inputs'!$B$29+I189*'Service inputs'!$B$24*'Service inputs'!$B$25+J189*'Service inputs'!$B$26*'Service inputs'!$B$27+K189*'Service inputs'!$B$30*'Service inputs'!$B$31)</x:f>
        <x:v>709.2205539375</x:v>
      </x:c>
      <x:c r="Q189" s="24" t="n">
        <x:f>O189/SUM($O$5:$O$320)*SUMIF(Workload!$A$5:$A$40,"Ecology",Workload!$G$5:$G$40)</x:f>
        <x:v>2.49363557822076</x:v>
      </x:c>
      <x:c r="R189" s="25" t="n">
        <x:f>P189/SUMIF(Workload!$A$5:$A$40,"Grounds",Workload!$G$5:$G$40)*Staffing!$J$5+Q189/SUMIF(Workload!$A$5:$A$40,"Ecology",Workload!$G$5:$G$40)*Staffing!$J$7</x:f>
        <x:v>72369.41894263223</x:v>
      </x:c>
      <x:c r="S189" s="8" t="n">
        <x:v>8</x:v>
      </x:c>
      <x:c r="T189" s="22" t="n">
        <x:v>0.625</x:v>
      </x:c>
      <x:c r="U189" s="8" t="n">
        <x:v>0</x:v>
      </x:c>
      <x:c r="V189" s="8" t="n">
        <x:v>0</x:v>
      </x:c>
      <x:c r="W189" s="8" t="str">
        <x:v>https://parks.portlandciviclab.org/parks/merrifield-park-261</x:v>
      </x:c>
    </x:row>
    <x:row r="190" ht="23" customHeight="1">
      <x:c r="A190" s="7" t="str">
        <x:v>264</x:v>
      </x:c>
      <x:c r="B190" s="7" t="str">
        <x:v>Midland Park</x:v>
      </x:c>
      <x:c r="C190" s="7" t="str">
        <x:v>natural-area</x:v>
      </x:c>
      <x:c r="D190" s="7" t="str">
        <x:v>District 1</x:v>
      </x:c>
      <x:c r="E190" s="19" t="n">
        <x:v>1.89507577</x:v>
      </x:c>
      <x:c r="F190" s="7" t="n">
        <x:v>1</x:v>
      </x:c>
      <x:c r="G190" s="7" t="n">
        <x:v>0</x:v>
      </x:c>
      <x:c r="H190" s="7" t="n">
        <x:v>0</x:v>
      </x:c>
      <x:c r="I190" s="7" t="n">
        <x:v>0</x:v>
      </x:c>
      <x:c r="J190" s="7" t="n">
        <x:v>0</x:v>
      </x:c>
      <x:c r="K190" s="7" t="n">
        <x:v>0</x:v>
      </x:c>
      <x:c r="L190" s="26" t="n">
        <x:f>F190*'Service inputs'!B66*'Service inputs'!C66</x:f>
        <x:v>78</x:v>
      </x:c>
      <x:c r="M190" s="26" t="n">
        <x:f>F190*E190*'Service inputs'!D66</x:f>
        <x:v>0.00947537885</x:v>
      </x:c>
      <x:c r="N190" s="26" t="n">
        <x:f>F190*E190*'Service inputs'!E66</x:f>
        <x:v>0</x:v>
      </x:c>
      <x:c r="O190" s="26" t="n">
        <x:f>F190*E190*'Service inputs'!F66</x:f>
        <x:v>1.8761250123</x:v>
      </x:c>
      <x:c r="P190" s="26" t="n">
        <x:f>L190+F190*G190*'Service inputs'!$B$17*'Service inputs'!$B$18*'Service inputs'!$B$19+M190*('Service inputs'!$B$20*'Service inputs'!$B$21+'Service inputs'!$B$22)+N190*'Service inputs'!$B$23+F190*(H190*'Service inputs'!$B$28*'Service inputs'!$B$29+I190*'Service inputs'!$B$24*'Service inputs'!$B$25+J190*'Service inputs'!$B$26*'Service inputs'!$B$27+K190*'Service inputs'!$B$30*'Service inputs'!$B$31)</x:f>
        <x:v>78.21793371355</x:v>
      </x:c>
      <x:c r="Q190" s="26" t="n">
        <x:f>O190/SUM($O$5:$O$320)*SUMIF(Workload!$A$5:$A$40,"Ecology",Workload!$G$5:$G$40)</x:f>
        <x:v>19.695013958851373</x:v>
      </x:c>
      <x:c r="R190" s="27" t="n">
        <x:f>P190/SUMIF(Workload!$A$5:$A$40,"Grounds",Workload!$G$5:$G$40)*Staffing!$J$5+Q190/SUMIF(Workload!$A$5:$A$40,"Ecology",Workload!$G$5:$G$40)*Staffing!$J$7</x:f>
        <x:v>10228.971753135454</x:v>
      </x:c>
      <x:c r="S190" s="7" t="n">
        <x:v>25</x:v>
      </x:c>
      <x:c r="T190" s="23" t="n">
        <x:v>0.08</x:v>
      </x:c>
      <x:c r="U190" s="7" t="n">
        <x:v>1</x:v>
      </x:c>
      <x:c r="V190" s="7" t="n">
        <x:v>0</x:v>
      </x:c>
      <x:c r="W190" s="7" t="str">
        <x:v>https://parks.portlandciviclab.org/parks/midland-park-264</x:v>
      </x:c>
    </x:row>
    <x:row r="191" ht="23" customHeight="1">
      <x:c r="A191" s="8" t="str">
        <x:v>265</x:v>
      </x:c>
      <x:c r="B191" s="8" t="str">
        <x:v>Mill Ends Park</x:v>
      </x:c>
      <x:c r="C191" s="8" t="str">
        <x:v>plaza-memorial</x:v>
      </x:c>
      <x:c r="D191" s="8" t="str">
        <x:v>District 4</x:v>
      </x:c>
      <x:c r="E191" s="18" t="n">
        <x:v>0.00036893</x:v>
      </x:c>
      <x:c r="F191" s="8" t="n">
        <x:v>1</x:v>
      </x:c>
      <x:c r="G191" s="8" t="n">
        <x:v>0</x:v>
      </x:c>
      <x:c r="H191" s="8" t="n">
        <x:v>0</x:v>
      </x:c>
      <x:c r="I191" s="8" t="n">
        <x:v>0</x:v>
      </x:c>
      <x:c r="J191" s="8" t="n">
        <x:v>0</x:v>
      </x:c>
      <x:c r="K191" s="8" t="n">
        <x:v>0</x:v>
      </x:c>
      <x:c r="L191" s="24" t="n">
        <x:f>F191*'Service inputs'!B68*'Service inputs'!C68</x:f>
        <x:v>730</x:v>
      </x:c>
      <x:c r="M191" s="24" t="n">
        <x:f>F191*E191*'Service inputs'!D68</x:f>
        <x:v>0</x:v>
      </x:c>
      <x:c r="N191" s="24" t="n">
        <x:f>F191*E191*'Service inputs'!E68</x:f>
        <x:v>0.000036893</x:v>
      </x:c>
      <x:c r="O191" s="24" t="n">
        <x:f>F191*E191*'Service inputs'!F68</x:f>
        <x:v>0</x:v>
      </x:c>
      <x:c r="P191" s="24" t="n">
        <x:f>L191+F191*G191*'Service inputs'!$B$17*'Service inputs'!$B$18*'Service inputs'!$B$19+M191*('Service inputs'!$B$20*'Service inputs'!$B$21+'Service inputs'!$B$22)+N191*'Service inputs'!$B$23+F191*(H191*'Service inputs'!$B$28*'Service inputs'!$B$29+I191*'Service inputs'!$B$24*'Service inputs'!$B$25+J191*'Service inputs'!$B$26*'Service inputs'!$B$27+K191*'Service inputs'!$B$30*'Service inputs'!$B$31)</x:f>
        <x:v>730.00442716</x:v>
      </x:c>
      <x:c r="Q191" s="24" t="n">
        <x:f>O191/SUM($O$5:$O$320)*SUMIF(Workload!$A$5:$A$40,"Ecology",Workload!$G$5:$G$40)</x:f>
        <x:v>0</x:v>
      </x:c>
      <x:c r="R191" s="25" t="n">
        <x:f>P191/SUMIF(Workload!$A$5:$A$40,"Grounds",Workload!$G$5:$G$40)*Staffing!$J$5+Q191/SUMIF(Workload!$A$5:$A$40,"Ecology",Workload!$G$5:$G$40)*Staffing!$J$7</x:f>
        <x:v>74193.1658982191</x:v>
      </x:c>
      <x:c r="S191" s="8" t="n">
        <x:v>0</x:v>
      </x:c>
      <x:c r="T191" s="22" t="n">
        <x:v>0</x:v>
      </x:c>
      <x:c r="U191" s="8" t="n">
        <x:v>0</x:v>
      </x:c>
      <x:c r="V191" s="8" t="n">
        <x:v>0</x:v>
      </x:c>
      <x:c r="W191" s="8" t="str">
        <x:v>https://parks.portlandciviclab.org/parks/mill-ends-park-265</x:v>
      </x:c>
    </x:row>
    <x:row r="192" ht="23" customHeight="1">
      <x:c r="A192" s="7" t="str">
        <x:v>266</x:v>
      </x:c>
      <x:c r="B192" s="7" t="str">
        <x:v>Mill Park</x:v>
      </x:c>
      <x:c r="C192" s="7" t="str">
        <x:v>developed-park</x:v>
      </x:c>
      <x:c r="D192" s="7" t="str">
        <x:v>District 1</x:v>
      </x:c>
      <x:c r="E192" s="19" t="n">
        <x:v>6.20611029</x:v>
      </x:c>
      <x:c r="F192" s="7" t="n">
        <x:v>1</x:v>
      </x:c>
      <x:c r="G192" s="7" t="n">
        <x:v>0</x:v>
      </x:c>
      <x:c r="H192" s="7" t="n">
        <x:v>1</x:v>
      </x:c>
      <x:c r="I192" s="7" t="n">
        <x:v>0</x:v>
      </x:c>
      <x:c r="J192" s="7" t="n">
        <x:v>0</x:v>
      </x:c>
      <x:c r="K192" s="7" t="n">
        <x:v>1</x:v>
      </x:c>
      <x:c r="L192" s="26" t="n">
        <x:f>F192*'Service inputs'!B65*'Service inputs'!C65</x:f>
        <x:v>547.5</x:v>
      </x:c>
      <x:c r="M192" s="26" t="n">
        <x:f>F192*E192*'Service inputs'!D65</x:f>
        <x:v>3.4133606595000003</x:v>
      </x:c>
      <x:c r="N192" s="26" t="n">
        <x:f>F192*E192*'Service inputs'!E65</x:f>
        <x:v>0.3103055145</x:v>
      </x:c>
      <x:c r="O192" s="26" t="n">
        <x:f>F192*E192*'Service inputs'!F65</x:f>
        <x:v>1.5515275725</x:v>
      </x:c>
      <x:c r="P192" s="26" t="n">
        <x:f>L192+F192*G192*'Service inputs'!$B$17*'Service inputs'!$B$18*'Service inputs'!$B$19+M192*('Service inputs'!$B$20*'Service inputs'!$B$21+'Service inputs'!$B$22)+N192*'Service inputs'!$B$23+F192*(H192*'Service inputs'!$B$28*'Service inputs'!$B$29+I192*'Service inputs'!$B$24*'Service inputs'!$B$25+J192*'Service inputs'!$B$26*'Service inputs'!$B$27+K192*'Service inputs'!$B$30*'Service inputs'!$B$31)</x:f>
        <x:v>750.2439569085001</x:v>
      </x:c>
      <x:c r="Q192" s="26" t="n">
        <x:f>O192/SUM($O$5:$O$320)*SUMIF(Workload!$A$5:$A$40,"Ecology",Workload!$G$5:$G$40)</x:f>
        <x:v>16.2874845746388</x:v>
      </x:c>
      <x:c r="R192" s="27" t="n">
        <x:f>P192/SUMIF(Workload!$A$5:$A$40,"Grounds",Workload!$G$5:$G$40)*Staffing!$J$5+Q192/SUMIF(Workload!$A$5:$A$40,"Ecology",Workload!$G$5:$G$40)*Staffing!$J$7</x:f>
        <x:v>78135.20202914749</x:v>
      </x:c>
      <x:c r="S192" s="7" t="n">
        <x:v>62</x:v>
      </x:c>
      <x:c r="T192" s="23" t="n">
        <x:v>0.016129032258064516</x:v>
      </x:c>
      <x:c r="U192" s="7" t="n">
        <x:v>1</x:v>
      </x:c>
      <x:c r="V192" s="7" t="n">
        <x:v>0</x:v>
      </x:c>
      <x:c r="W192" s="7" t="str">
        <x:v>https://parks.portlandciviclab.org/parks/mill-park-266</x:v>
      </x:c>
    </x:row>
    <x:row r="193" ht="23" customHeight="1">
      <x:c r="A193" s="8" t="str">
        <x:v>1055</x:v>
      </x:c>
      <x:c r="B193" s="8" t="str">
        <x:v>Mitchell Creek Natural Area</x:v>
      </x:c>
      <x:c r="C193" s="8" t="str">
        <x:v>natural-area</x:v>
      </x:c>
      <x:c r="D193" s="8" t="str">
        <x:v>District 1</x:v>
      </x:c>
      <x:c r="E193" s="18" t="n">
        <x:v>73.43524156</x:v>
      </x:c>
      <x:c r="F193" s="8" t="n">
        <x:v>1</x:v>
      </x:c>
      <x:c r="G193" s="8" t="n">
        <x:v>0</x:v>
      </x:c>
      <x:c r="H193" s="8" t="n">
        <x:v>0</x:v>
      </x:c>
      <x:c r="I193" s="8" t="n">
        <x:v>0</x:v>
      </x:c>
      <x:c r="J193" s="8" t="n">
        <x:v>0</x:v>
      </x:c>
      <x:c r="K193" s="8" t="n">
        <x:v>0</x:v>
      </x:c>
      <x:c r="L193" s="24" t="n">
        <x:f>F193*'Service inputs'!B66*'Service inputs'!C66</x:f>
        <x:v>78</x:v>
      </x:c>
      <x:c r="M193" s="24" t="n">
        <x:f>F193*E193*'Service inputs'!D66</x:f>
        <x:v>0.3671762078</x:v>
      </x:c>
      <x:c r="N193" s="24" t="n">
        <x:f>F193*E193*'Service inputs'!E66</x:f>
        <x:v>0</x:v>
      </x:c>
      <x:c r="O193" s="24" t="n">
        <x:f>F193*E193*'Service inputs'!F66</x:f>
        <x:v>72.7008891444</x:v>
      </x:c>
      <x:c r="P193" s="24" t="n">
        <x:f>L193+F193*G193*'Service inputs'!$B$17*'Service inputs'!$B$18*'Service inputs'!$B$19+M193*('Service inputs'!$B$20*'Service inputs'!$B$21+'Service inputs'!$B$22)+N193*'Service inputs'!$B$23+F193*(H193*'Service inputs'!$B$28*'Service inputs'!$B$29+I193*'Service inputs'!$B$24*'Service inputs'!$B$25+J193*'Service inputs'!$B$26*'Service inputs'!$B$27+K193*'Service inputs'!$B$30*'Service inputs'!$B$31)</x:f>
        <x:v>86.4450527794</x:v>
      </x:c>
      <x:c r="Q193" s="24" t="n">
        <x:f>O193/SUM($O$5:$O$320)*SUMIF(Workload!$A$5:$A$40,"Ecology",Workload!$G$5:$G$40)</x:f>
        <x:v>763.1927601479609</x:v>
      </x:c>
      <x:c r="R193" s="25" t="n">
        <x:f>P193/SUMIF(Workload!$A$5:$A$40,"Grounds",Workload!$G$5:$G$40)*Staffing!$J$5+Q193/SUMIF(Workload!$A$5:$A$40,"Ecology",Workload!$G$5:$G$40)*Staffing!$J$7</x:f>
        <x:v>97113.04398046699</x:v>
      </x:c>
      <x:c r="S193" s="8" t="n">
        <x:v>0</x:v>
      </x:c>
      <x:c r="T193" s="22" t="n">
        <x:v>0</x:v>
      </x:c>
      <x:c r="U193" s="8" t="n">
        <x:v>0</x:v>
      </x:c>
      <x:c r="V193" s="8" t="n">
        <x:v>0</x:v>
      </x:c>
      <x:c r="W193" s="8" t="str">
        <x:v>https://parks.portlandciviclab.org/parks/mitchell-creek-natural-area-1055</x:v>
      </x:c>
    </x:row>
    <x:row r="194" ht="23" customHeight="1">
      <x:c r="A194" s="7" t="str">
        <x:v>906</x:v>
      </x:c>
      <x:c r="B194" s="7" t="str">
        <x:v>Mocks Crest Property</x:v>
      </x:c>
      <x:c r="C194" s="7" t="str">
        <x:v>natural-area</x:v>
      </x:c>
      <x:c r="D194" s="7" t="str">
        <x:v>District 2</x:v>
      </x:c>
      <x:c r="E194" s="19" t="n">
        <x:v>5.86300239</x:v>
      </x:c>
      <x:c r="F194" s="7" t="n">
        <x:v>1</x:v>
      </x:c>
      <x:c r="G194" s="7" t="n">
        <x:v>0</x:v>
      </x:c>
      <x:c r="H194" s="7" t="n">
        <x:v>0</x:v>
      </x:c>
      <x:c r="I194" s="7" t="n">
        <x:v>0</x:v>
      </x:c>
      <x:c r="J194" s="7" t="n">
        <x:v>0</x:v>
      </x:c>
      <x:c r="K194" s="7" t="n">
        <x:v>0</x:v>
      </x:c>
      <x:c r="L194" s="26" t="n">
        <x:f>F194*'Service inputs'!B66*'Service inputs'!C66</x:f>
        <x:v>78</x:v>
      </x:c>
      <x:c r="M194" s="26" t="n">
        <x:f>F194*E194*'Service inputs'!D66</x:f>
        <x:v>0.02931501195</x:v>
      </x:c>
      <x:c r="N194" s="26" t="n">
        <x:f>F194*E194*'Service inputs'!E66</x:f>
        <x:v>0</x:v>
      </x:c>
      <x:c r="O194" s="26" t="n">
        <x:f>F194*E194*'Service inputs'!F66</x:f>
        <x:v>5.8043723661</x:v>
      </x:c>
      <x:c r="P194" s="26" t="n">
        <x:f>L194+F194*G194*'Service inputs'!$B$17*'Service inputs'!$B$18*'Service inputs'!$B$19+M194*('Service inputs'!$B$20*'Service inputs'!$B$21+'Service inputs'!$B$22)+N194*'Service inputs'!$B$23+F194*(H194*'Service inputs'!$B$28*'Service inputs'!$B$29+I194*'Service inputs'!$B$24*'Service inputs'!$B$25+J194*'Service inputs'!$B$26*'Service inputs'!$B$27+K194*'Service inputs'!$B$30*'Service inputs'!$B$31)</x:f>
        <x:v>78.67424527485</x:v>
      </x:c>
      <x:c r="Q194" s="26" t="n">
        <x:f>O194/SUM($O$5:$O$320)*SUMIF(Workload!$A$5:$A$40,"Ecology",Workload!$G$5:$G$40)</x:f>
        <x:v>60.932610579380125</x:v>
      </x:c>
      <x:c r="R194" s="27" t="n">
        <x:f>P194/SUMIF(Workload!$A$5:$A$40,"Grounds",Workload!$G$5:$G$40)*Staffing!$J$5+Q194/SUMIF(Workload!$A$5:$A$40,"Ecology",Workload!$G$5:$G$40)*Staffing!$J$7</x:f>
        <x:v>15047.937703770993</x:v>
      </x:c>
      <x:c r="S194" s="7" t="n">
        <x:v>0</x:v>
      </x:c>
      <x:c r="T194" s="23" t="n">
        <x:v>0</x:v>
      </x:c>
      <x:c r="U194" s="7" t="n">
        <x:v>0</x:v>
      </x:c>
      <x:c r="V194" s="7" t="n">
        <x:v>0</x:v>
      </x:c>
      <x:c r="W194" s="7" t="str">
        <x:v>https://parks.portlandciviclab.org/parks/mocks-crest-property-906</x:v>
      </x:c>
    </x:row>
    <x:row r="195" ht="23" customHeight="1">
      <x:c r="A195" s="8" t="str">
        <x:v>268</x:v>
      </x:c>
      <x:c r="B195" s="8" t="str">
        <x:v>Montavilla Park</x:v>
      </x:c>
      <x:c r="C195" s="8" t="str">
        <x:v>developed-park</x:v>
      </x:c>
      <x:c r="D195" s="8" t="str">
        <x:v>District 3</x:v>
      </x:c>
      <x:c r="E195" s="18" t="n">
        <x:v>9.48043075</x:v>
      </x:c>
      <x:c r="F195" s="8" t="n">
        <x:v>1</x:v>
      </x:c>
      <x:c r="G195" s="8" t="n">
        <x:v>0</x:v>
      </x:c>
      <x:c r="H195" s="8" t="n">
        <x:v>1</x:v>
      </x:c>
      <x:c r="I195" s="8" t="n">
        <x:v>4</x:v>
      </x:c>
      <x:c r="J195" s="8" t="n">
        <x:v>1</x:v>
      </x:c>
      <x:c r="K195" s="8" t="n">
        <x:v>0</x:v>
      </x:c>
      <x:c r="L195" s="24" t="n">
        <x:f>F195*'Service inputs'!B65*'Service inputs'!C65</x:f>
        <x:v>547.5</x:v>
      </x:c>
      <x:c r="M195" s="24" t="n">
        <x:f>F195*E195*'Service inputs'!D65</x:f>
        <x:v>5.2142369125000005</x:v>
      </x:c>
      <x:c r="N195" s="24" t="n">
        <x:f>F195*E195*'Service inputs'!E65</x:f>
        <x:v>0.47402153750000003</x:v>
      </x:c>
      <x:c r="O195" s="24" t="n">
        <x:f>F195*E195*'Service inputs'!F65</x:f>
        <x:v>2.3701076875</x:v>
      </x:c>
      <x:c r="P195" s="24" t="n">
        <x:f>L195+F195*G195*'Service inputs'!$B$17*'Service inputs'!$B$18*'Service inputs'!$B$19+M195*('Service inputs'!$B$20*'Service inputs'!$B$21+'Service inputs'!$B$22)+N195*'Service inputs'!$B$23+F195*(H195*'Service inputs'!$B$28*'Service inputs'!$B$29+I195*'Service inputs'!$B$24*'Service inputs'!$B$25+J195*'Service inputs'!$B$26*'Service inputs'!$B$27+K195*'Service inputs'!$B$30*'Service inputs'!$B$31)</x:f>
        <x:v>1201.3100334875</x:v>
      </x:c>
      <x:c r="Q195" s="24" t="n">
        <x:f>O195/SUM($O$5:$O$320)*SUMIF(Workload!$A$5:$A$40,"Ecology",Workload!$G$5:$G$40)</x:f>
        <x:v>24.880700210945875</x:v>
      </x:c>
      <x:c r="R195" s="25" t="n">
        <x:f>P195/SUMIF(Workload!$A$5:$A$40,"Grounds",Workload!$G$5:$G$40)*Staffing!$J$5+Q195/SUMIF(Workload!$A$5:$A$40,"Ecology",Workload!$G$5:$G$40)*Staffing!$J$7</x:f>
        <x:v>124973.31400625962</x:v>
      </x:c>
      <x:c r="S195" s="8" t="n">
        <x:v>134</x:v>
      </x:c>
      <x:c r="T195" s="22" t="n">
        <x:v>0.16417910447761194</x:v>
      </x:c>
      <x:c r="U195" s="8" t="n">
        <x:v>9</x:v>
      </x:c>
      <x:c r="V195" s="8" t="n">
        <x:v>1</x:v>
      </x:c>
      <x:c r="W195" s="8" t="str">
        <x:v>https://parks.portlandciviclab.org/parks/montavilla-park-268</x:v>
      </x:c>
    </x:row>
    <x:row r="196" ht="23" customHeight="1">
      <x:c r="A196" s="7" t="str">
        <x:v>907</x:v>
      </x:c>
      <x:c r="B196" s="7" t="str">
        <x:v>Moore Island</x:v>
      </x:c>
      <x:c r="C196" s="7" t="str">
        <x:v>natural-area</x:v>
      </x:c>
      <x:c r="D196" s="7" t="str">
        <x:v>District 2</x:v>
      </x:c>
      <x:c r="E196" s="19" t="n">
        <x:v>7.35814477</x:v>
      </x:c>
      <x:c r="F196" s="7" t="n">
        <x:v>1</x:v>
      </x:c>
      <x:c r="G196" s="7" t="n">
        <x:v>0</x:v>
      </x:c>
      <x:c r="H196" s="7" t="n">
        <x:v>0</x:v>
      </x:c>
      <x:c r="I196" s="7" t="n">
        <x:v>0</x:v>
      </x:c>
      <x:c r="J196" s="7" t="n">
        <x:v>0</x:v>
      </x:c>
      <x:c r="K196" s="7" t="n">
        <x:v>0</x:v>
      </x:c>
      <x:c r="L196" s="26" t="n">
        <x:f>F196*'Service inputs'!B66*'Service inputs'!C66</x:f>
        <x:v>78</x:v>
      </x:c>
      <x:c r="M196" s="26" t="n">
        <x:f>F196*E196*'Service inputs'!D66</x:f>
        <x:v>0.03679072385</x:v>
      </x:c>
      <x:c r="N196" s="26" t="n">
        <x:f>F196*E196*'Service inputs'!E66</x:f>
        <x:v>0</x:v>
      </x:c>
      <x:c r="O196" s="26" t="n">
        <x:f>F196*E196*'Service inputs'!F66</x:f>
        <x:v>7.2845633223</x:v>
      </x:c>
      <x:c r="P196" s="26" t="n">
        <x:f>L196+F196*G196*'Service inputs'!$B$17*'Service inputs'!$B$18*'Service inputs'!$B$19+M196*('Service inputs'!$B$20*'Service inputs'!$B$21+'Service inputs'!$B$22)+N196*'Service inputs'!$B$23+F196*(H196*'Service inputs'!$B$28*'Service inputs'!$B$29+I196*'Service inputs'!$B$24*'Service inputs'!$B$25+J196*'Service inputs'!$B$26*'Service inputs'!$B$27+K196*'Service inputs'!$B$30*'Service inputs'!$B$31)</x:f>
        <x:v>78.84618664855</x:v>
      </x:c>
      <x:c r="Q196" s="26" t="n">
        <x:f>O196/SUM($O$5:$O$320)*SUMIF(Workload!$A$5:$A$40,"Ecology",Workload!$G$5:$G$40)</x:f>
        <x:v>76.47122413284785</x:v>
      </x:c>
      <x:c r="R196" s="27" t="n">
        <x:f>P196/SUMIF(Workload!$A$5:$A$40,"Grounds",Workload!$G$5:$G$40)*Staffing!$J$5+Q196/SUMIF(Workload!$A$5:$A$40,"Ecology",Workload!$G$5:$G$40)*Staffing!$J$7</x:f>
        <x:v>16863.757629536707</x:v>
      </x:c>
      <x:c r="S196" s="7" t="n">
        <x:v>0</x:v>
      </x:c>
      <x:c r="T196" s="23" t="n">
        <x:v>0</x:v>
      </x:c>
      <x:c r="U196" s="7" t="n">
        <x:v>0</x:v>
      </x:c>
      <x:c r="V196" s="7" t="n">
        <x:v>0</x:v>
      </x:c>
      <x:c r="W196" s="7" t="str">
        <x:v>https://parks.portlandciviclab.org/parks/moore-island-907</x:v>
      </x:c>
    </x:row>
    <x:row r="197" ht="23" customHeight="1">
      <x:c r="A197" s="8" t="str">
        <x:v>271</x:v>
      </x:c>
      <x:c r="B197" s="8" t="str">
        <x:v>Mt Scott Park</x:v>
      </x:c>
      <x:c r="C197" s="8" t="str">
        <x:v>developed-park</x:v>
      </x:c>
      <x:c r="D197" s="8" t="str">
        <x:v>District 3</x:v>
      </x:c>
      <x:c r="E197" s="18" t="n">
        <x:v>11.21665004</x:v>
      </x:c>
      <x:c r="F197" s="8" t="n">
        <x:v>1</x:v>
      </x:c>
      <x:c r="G197" s="8" t="n">
        <x:v>1</x:v>
      </x:c>
      <x:c r="H197" s="8" t="n">
        <x:v>1</x:v>
      </x:c>
      <x:c r="I197" s="8" t="n">
        <x:v>1</x:v>
      </x:c>
      <x:c r="J197" s="8" t="n">
        <x:v>3</x:v>
      </x:c>
      <x:c r="K197" s="8" t="n">
        <x:v>0</x:v>
      </x:c>
      <x:c r="L197" s="24" t="n">
        <x:f>F197*'Service inputs'!B65*'Service inputs'!C65</x:f>
        <x:v>547.5</x:v>
      </x:c>
      <x:c r="M197" s="24" t="n">
        <x:f>F197*E197*'Service inputs'!D65</x:f>
        <x:v>6.169157522</x:v>
      </x:c>
      <x:c r="N197" s="24" t="n">
        <x:f>F197*E197*'Service inputs'!E65</x:f>
        <x:v>0.560832502</x:v>
      </x:c>
      <x:c r="O197" s="24" t="n">
        <x:f>F197*E197*'Service inputs'!F65</x:f>
        <x:v>2.80416251</x:v>
      </x:c>
      <x:c r="P197" s="24" t="n">
        <x:f>L197+F197*G197*'Service inputs'!$B$17*'Service inputs'!$B$18*'Service inputs'!$B$19+M197*('Service inputs'!$B$20*'Service inputs'!$B$21+'Service inputs'!$B$22)+N197*'Service inputs'!$B$23+F197*(H197*'Service inputs'!$B$28*'Service inputs'!$B$29+I197*'Service inputs'!$B$24*'Service inputs'!$B$25+J197*'Service inputs'!$B$26*'Service inputs'!$B$27+K197*'Service inputs'!$B$30*'Service inputs'!$B$31)</x:f>
        <x:v>1276.4405232459999</x:v>
      </x:c>
      <x:c r="Q197" s="24" t="n">
        <x:f>O197/SUM($O$5:$O$320)*SUMIF(Workload!$A$5:$A$40,"Ecology",Workload!$G$5:$G$40)</x:f>
        <x:v>29.4372813193466</x:v>
      </x:c>
      <x:c r="R197" s="25" t="n">
        <x:f>P197/SUMIF(Workload!$A$5:$A$40,"Grounds",Workload!$G$5:$G$40)*Staffing!$J$5+Q197/SUMIF(Workload!$A$5:$A$40,"Ecology",Workload!$G$5:$G$40)*Staffing!$J$7</x:f>
        <x:v>133136.4665465311</x:v>
      </x:c>
      <x:c r="S197" s="8" t="n">
        <x:v>185</x:v>
      </x:c>
      <x:c r="T197" s="22" t="n">
        <x:v>0.16216216216216217</x:v>
      </x:c>
      <x:c r="U197" s="8" t="n">
        <x:v>20</x:v>
      </x:c>
      <x:c r="V197" s="8" t="n">
        <x:v>0</x:v>
      </x:c>
      <x:c r="W197" s="8" t="str">
        <x:v>https://parks.portlandciviclab.org/parks/mt-scott-park-271</x:v>
      </x:c>
    </x:row>
    <x:row r="198" ht="23" customHeight="1">
      <x:c r="A198" s="7" t="str">
        <x:v>275</x:v>
      </x:c>
      <x:c r="B198" s="7" t="str">
        <x:v>Mt Tabor Park</x:v>
      </x:c>
      <x:c r="C198" s="7" t="str">
        <x:v>developed-park</x:v>
      </x:c>
      <x:c r="D198" s="7" t="str">
        <x:v>District 3</x:v>
      </x:c>
      <x:c r="E198" s="19" t="n">
        <x:v>174.34309696</x:v>
      </x:c>
      <x:c r="F198" s="7" t="n">
        <x:v>1</x:v>
      </x:c>
      <x:c r="G198" s="7" t="n">
        <x:v>3</x:v>
      </x:c>
      <x:c r="H198" s="7" t="n">
        <x:v>1</x:v>
      </x:c>
      <x:c r="I198" s="7" t="n">
        <x:v>0</x:v>
      </x:c>
      <x:c r="J198" s="7" t="n">
        <x:v>7</x:v>
      </x:c>
      <x:c r="K198" s="7" t="n">
        <x:v>0</x:v>
      </x:c>
      <x:c r="L198" s="26" t="n">
        <x:f>F198*'Service inputs'!B65*'Service inputs'!C65</x:f>
        <x:v>547.5</x:v>
      </x:c>
      <x:c r="M198" s="26" t="n">
        <x:f>F198*E198*'Service inputs'!D65</x:f>
        <x:v>95.888703328</x:v>
      </x:c>
      <x:c r="N198" s="26" t="n">
        <x:f>F198*E198*'Service inputs'!E65</x:f>
        <x:v>8.717154848</x:v>
      </x:c>
      <x:c r="O198" s="26" t="n">
        <x:f>F198*E198*'Service inputs'!F65</x:f>
        <x:v>43.58577424</x:v>
      </x:c>
      <x:c r="P198" s="26" t="n">
        <x:f>L198+F198*G198*'Service inputs'!$B$17*'Service inputs'!$B$18*'Service inputs'!$B$19+M198*('Service inputs'!$B$20*'Service inputs'!$B$21+'Service inputs'!$B$22)+N198*'Service inputs'!$B$23+F198*(H198*'Service inputs'!$B$28*'Service inputs'!$B$29+I198*'Service inputs'!$B$24*'Service inputs'!$B$25+J198*'Service inputs'!$B$26*'Service inputs'!$B$27+K198*'Service inputs'!$B$30*'Service inputs'!$B$31)</x:f>
        <x:v>4929.248758304</x:v>
      </x:c>
      <x:c r="Q198" s="26" t="n">
        <x:f>O198/SUM($O$5:$O$320)*SUMIF(Workload!$A$5:$A$40,"Ecology",Workload!$G$5:$G$40)</x:f>
        <x:v>457.55076364115934</x:v>
      </x:c>
      <x:c r="R198" s="27" t="n">
        <x:f>P198/SUMIF(Workload!$A$5:$A$40,"Grounds",Workload!$G$5:$G$40)*Staffing!$J$5+Q198/SUMIF(Workload!$A$5:$A$40,"Ecology",Workload!$G$5:$G$40)*Staffing!$J$7</x:f>
        <x:v>553932.7151536618</x:v>
      </x:c>
      <x:c r="S198" s="7" t="n">
        <x:v>411</x:v>
      </x:c>
      <x:c r="T198" s="23" t="n">
        <x:v>0.2116788321167883</x:v>
      </x:c>
      <x:c r="U198" s="7" t="n">
        <x:v>19</x:v>
      </x:c>
      <x:c r="V198" s="7" t="n">
        <x:v>2</x:v>
      </x:c>
      <x:c r="W198" s="7" t="str">
        <x:v>https://parks.portlandciviclab.org/parks/mt-tabor-park-275</x:v>
      </x:c>
    </x:row>
    <x:row r="199" ht="23" customHeight="1">
      <x:c r="A199" s="8" t="str">
        <x:v>292</x:v>
      </x:c>
      <x:c r="B199" s="8" t="str">
        <x:v>Multnomah Arts Center</x:v>
      </x:c>
      <x:c r="C199" s="8" t="str">
        <x:v>facility-site</x:v>
      </x:c>
      <x:c r="D199" s="8" t="str">
        <x:v>District 4</x:v>
      </x:c>
      <x:c r="E199" s="18" t="n">
        <x:v>5.92350969</x:v>
      </x:c>
      <x:c r="F199" s="8" t="n">
        <x:v>1</x:v>
      </x:c>
      <x:c r="G199" s="8" t="n">
        <x:v>0</x:v>
      </x:c>
      <x:c r="H199" s="8" t="n">
        <x:v>1</x:v>
      </x:c>
      <x:c r="I199" s="8" t="n">
        <x:v>0</x:v>
      </x:c>
      <x:c r="J199" s="8" t="n">
        <x:v>2</x:v>
      </x:c>
      <x:c r="K199" s="8" t="n">
        <x:v>0</x:v>
      </x:c>
      <x:c r="L199" s="24" t="n">
        <x:f>F199*'Service inputs'!B69*'Service inputs'!C69</x:f>
        <x:v>260</x:v>
      </x:c>
      <x:c r="M199" s="24" t="n">
        <x:f>F199*E199*'Service inputs'!D69</x:f>
        <x:v>0.5923509690000001</x:v>
      </x:c>
      <x:c r="N199" s="24" t="n">
        <x:f>F199*E199*'Service inputs'!E69</x:f>
        <x:v>0.5923509690000001</x:v>
      </x:c>
      <x:c r="O199" s="24" t="n">
        <x:f>F199*E199*'Service inputs'!F69</x:f>
        <x:v>0</x:v>
      </x:c>
      <x:c r="P199" s="24" t="n">
        <x:f>L199+F199*G199*'Service inputs'!$B$17*'Service inputs'!$B$18*'Service inputs'!$B$19+M199*('Service inputs'!$B$20*'Service inputs'!$B$21+'Service inputs'!$B$22)+N199*'Service inputs'!$B$23+F199*(H199*'Service inputs'!$B$28*'Service inputs'!$B$29+I199*'Service inputs'!$B$24*'Service inputs'!$B$25+J199*'Service inputs'!$B$26*'Service inputs'!$B$27+K199*'Service inputs'!$B$30*'Service inputs'!$B$31)</x:f>
        <x:v>419.706188567</x:v>
      </x:c>
      <x:c r="Q199" s="24" t="n">
        <x:f>O199/SUM($O$5:$O$320)*SUMIF(Workload!$A$5:$A$40,"Ecology",Workload!$G$5:$G$40)</x:f>
        <x:v>0</x:v>
      </x:c>
      <x:c r="R199" s="25" t="n">
        <x:f>P199/SUMIF(Workload!$A$5:$A$40,"Grounds",Workload!$G$5:$G$40)*Staffing!$J$5+Q199/SUMIF(Workload!$A$5:$A$40,"Ecology",Workload!$G$5:$G$40)*Staffing!$J$7</x:f>
        <x:v>42656.35894566383</x:v>
      </x:c>
      <x:c r="S199" s="8" t="n">
        <x:v>93</x:v>
      </x:c>
      <x:c r="T199" s="22" t="n">
        <x:v>0.1827956989247312</x:v>
      </x:c>
      <x:c r="U199" s="8" t="n">
        <x:v>1</x:v>
      </x:c>
      <x:c r="V199" s="8" t="n">
        <x:v>0</x:v>
      </x:c>
      <x:c r="W199" s="8" t="str">
        <x:v>https://parks.portlandciviclab.org/parks/multnomah-arts-center-292</x:v>
      </x:c>
    </x:row>
    <x:row r="200" ht="23" customHeight="1">
      <x:c r="A200" s="7" t="str">
        <x:v>294</x:v>
      </x:c>
      <x:c r="B200" s="7" t="str">
        <x:v>Munger Property</x:v>
      </x:c>
      <x:c r="C200" s="7" t="str">
        <x:v>natural-area</x:v>
      </x:c>
      <x:c r="D200" s="7" t="str">
        <x:v>District 4</x:v>
      </x:c>
      <x:c r="E200" s="19" t="n">
        <x:v>14.81593238</x:v>
      </x:c>
      <x:c r="F200" s="7" t="n">
        <x:v>1</x:v>
      </x:c>
      <x:c r="G200" s="7" t="n">
        <x:v>0</x:v>
      </x:c>
      <x:c r="H200" s="7" t="n">
        <x:v>0</x:v>
      </x:c>
      <x:c r="I200" s="7" t="n">
        <x:v>0</x:v>
      </x:c>
      <x:c r="J200" s="7" t="n">
        <x:v>0</x:v>
      </x:c>
      <x:c r="K200" s="7" t="n">
        <x:v>0</x:v>
      </x:c>
      <x:c r="L200" s="26" t="n">
        <x:f>F200*'Service inputs'!B66*'Service inputs'!C66</x:f>
        <x:v>78</x:v>
      </x:c>
      <x:c r="M200" s="26" t="n">
        <x:f>F200*E200*'Service inputs'!D66</x:f>
        <x:v>0.0740796619</x:v>
      </x:c>
      <x:c r="N200" s="26" t="n">
        <x:f>F200*E200*'Service inputs'!E66</x:f>
        <x:v>0</x:v>
      </x:c>
      <x:c r="O200" s="26" t="n">
        <x:f>F200*E200*'Service inputs'!F66</x:f>
        <x:v>14.6677730562</x:v>
      </x:c>
      <x:c r="P200" s="26" t="n">
        <x:f>L200+F200*G200*'Service inputs'!$B$17*'Service inputs'!$B$18*'Service inputs'!$B$19+M200*('Service inputs'!$B$20*'Service inputs'!$B$21+'Service inputs'!$B$22)+N200*'Service inputs'!$B$23+F200*(H200*'Service inputs'!$B$28*'Service inputs'!$B$29+I200*'Service inputs'!$B$24*'Service inputs'!$B$25+J200*'Service inputs'!$B$26*'Service inputs'!$B$27+K200*'Service inputs'!$B$30*'Service inputs'!$B$31)</x:f>
        <x:v>79.7038322237</x:v>
      </x:c>
      <x:c r="Q200" s="26" t="n">
        <x:f>O200/SUM($O$5:$O$320)*SUMIF(Workload!$A$5:$A$40,"Ecology",Workload!$G$5:$G$40)</x:f>
        <x:v>153.97800956396483</x:v>
      </x:c>
      <x:c r="R200" s="27" t="n">
        <x:f>P200/SUMIF(Workload!$A$5:$A$40,"Grounds",Workload!$G$5:$G$40)*Staffing!$J$5+Q200/SUMIF(Workload!$A$5:$A$40,"Ecology",Workload!$G$5:$G$40)*Staffing!$J$7</x:f>
        <x:v>25921.08857374192</x:v>
      </x:c>
      <x:c r="S200" s="7" t="n">
        <x:v>0</x:v>
      </x:c>
      <x:c r="T200" s="23" t="n">
        <x:v>0</x:v>
      </x:c>
      <x:c r="U200" s="7" t="n">
        <x:v>0</x:v>
      </x:c>
      <x:c r="V200" s="7" t="n">
        <x:v>0</x:v>
      </x:c>
      <x:c r="W200" s="7" t="str">
        <x:v>https://parks.portlandciviclab.org/parks/munger-property-294</x:v>
      </x:c>
    </x:row>
    <x:row r="201" ht="23" customHeight="1">
      <x:c r="A201" s="8" t="str">
        <x:v>1487</x:v>
      </x:c>
      <x:c r="B201" s="8" t="str">
        <x:v>N Crawford St and N Polk Ave Property</x:v>
      </x:c>
      <x:c r="C201" s="8" t="str">
        <x:v>natural-area</x:v>
      </x:c>
      <x:c r="D201" s="8" t="str">
        <x:v>District 2</x:v>
      </x:c>
      <x:c r="E201" s="18" t="n">
        <x:v>2.99149029</x:v>
      </x:c>
      <x:c r="F201" s="8" t="n">
        <x:v>1</x:v>
      </x:c>
      <x:c r="G201" s="8" t="n">
        <x:v>0</x:v>
      </x:c>
      <x:c r="H201" s="8" t="n">
        <x:v>0</x:v>
      </x:c>
      <x:c r="I201" s="8" t="n">
        <x:v>0</x:v>
      </x:c>
      <x:c r="J201" s="8" t="n">
        <x:v>0</x:v>
      </x:c>
      <x:c r="K201" s="8" t="n">
        <x:v>0</x:v>
      </x:c>
      <x:c r="L201" s="24" t="n">
        <x:f>F201*'Service inputs'!B66*'Service inputs'!C66</x:f>
        <x:v>78</x:v>
      </x:c>
      <x:c r="M201" s="24" t="n">
        <x:f>F201*E201*'Service inputs'!D66</x:f>
        <x:v>0.014957451450000001</x:v>
      </x:c>
      <x:c r="N201" s="24" t="n">
        <x:f>F201*E201*'Service inputs'!E66</x:f>
        <x:v>0</x:v>
      </x:c>
      <x:c r="O201" s="24" t="n">
        <x:f>F201*E201*'Service inputs'!F66</x:f>
        <x:v>2.9615753871000003</x:v>
      </x:c>
      <x:c r="P201" s="24" t="n">
        <x:f>L201+F201*G201*'Service inputs'!$B$17*'Service inputs'!$B$18*'Service inputs'!$B$19+M201*('Service inputs'!$B$20*'Service inputs'!$B$21+'Service inputs'!$B$22)+N201*'Service inputs'!$B$23+F201*(H201*'Service inputs'!$B$28*'Service inputs'!$B$29+I201*'Service inputs'!$B$24*'Service inputs'!$B$25+J201*'Service inputs'!$B$26*'Service inputs'!$B$27+K201*'Service inputs'!$B$30*'Service inputs'!$B$31)</x:f>
        <x:v>78.34402138335</x:v>
      </x:c>
      <x:c r="Q201" s="24" t="n">
        <x:f>O201/SUM($O$5:$O$320)*SUMIF(Workload!$A$5:$A$40,"Ecology",Workload!$G$5:$G$40)</x:f>
        <x:v>31.089755856737245</x:v>
      </x:c>
      <x:c r="R201" s="25" t="n">
        <x:f>P201/SUMIF(Workload!$A$5:$A$40,"Grounds",Workload!$G$5:$G$40)*Staffing!$J$5+Q201/SUMIF(Workload!$A$5:$A$40,"Ecology",Workload!$G$5:$G$40)*Staffing!$J$7</x:f>
        <x:v>11560.544825336678</x:v>
      </x:c>
      <x:c r="S201" s="8" t="n">
        <x:v>0</x:v>
      </x:c>
      <x:c r="T201" s="22" t="n">
        <x:v>0</x:v>
      </x:c>
      <x:c r="U201" s="8" t="n">
        <x:v>0</x:v>
      </x:c>
      <x:c r="V201" s="8" t="n">
        <x:v>0</x:v>
      </x:c>
      <x:c r="W201" s="8" t="str">
        <x:v>https://parks.portlandciviclab.org/parks/n-crawford-st-and-n-polk-ave-property-1487</x:v>
      </x:c>
    </x:row>
    <x:row r="202" ht="23" customHeight="1">
      <x:c r="A202" s="7" t="str">
        <x:v>341</x:v>
      </x:c>
      <x:c r="B202" s="7" t="str">
        <x:v>N Swan Island Boat Ramp</x:v>
      </x:c>
      <x:c r="C202" s="7" t="str">
        <x:v>natural-area</x:v>
      </x:c>
      <x:c r="D202" s="7" t="str">
        <x:v>District 2</x:v>
      </x:c>
      <x:c r="E202" s="19" t="n">
        <x:v>1.65308158</x:v>
      </x:c>
      <x:c r="F202" s="7" t="n">
        <x:v>1</x:v>
      </x:c>
      <x:c r="G202" s="7" t="n">
        <x:v>0</x:v>
      </x:c>
      <x:c r="H202" s="7" t="n">
        <x:v>0</x:v>
      </x:c>
      <x:c r="I202" s="7" t="n">
        <x:v>0</x:v>
      </x:c>
      <x:c r="J202" s="7" t="n">
        <x:v>0</x:v>
      </x:c>
      <x:c r="K202" s="7" t="n">
        <x:v>0</x:v>
      </x:c>
      <x:c r="L202" s="26" t="n">
        <x:f>F202*'Service inputs'!B66*'Service inputs'!C66</x:f>
        <x:v>78</x:v>
      </x:c>
      <x:c r="M202" s="26" t="n">
        <x:f>F202*E202*'Service inputs'!D66</x:f>
        <x:v>0.0082654079</x:v>
      </x:c>
      <x:c r="N202" s="26" t="n">
        <x:f>F202*E202*'Service inputs'!E66</x:f>
        <x:v>0</x:v>
      </x:c>
      <x:c r="O202" s="26" t="n">
        <x:f>F202*E202*'Service inputs'!F66</x:f>
        <x:v>1.6365507642000001</x:v>
      </x:c>
      <x:c r="P202" s="26" t="n">
        <x:f>L202+F202*G202*'Service inputs'!$B$17*'Service inputs'!$B$18*'Service inputs'!$B$19+M202*('Service inputs'!$B$20*'Service inputs'!$B$21+'Service inputs'!$B$22)+N202*'Service inputs'!$B$23+F202*(H202*'Service inputs'!$B$28*'Service inputs'!$B$29+I202*'Service inputs'!$B$24*'Service inputs'!$B$25+J202*'Service inputs'!$B$26*'Service inputs'!$B$27+K202*'Service inputs'!$B$30*'Service inputs'!$B$31)</x:f>
        <x:v>78.1901043817</x:v>
      </x:c>
      <x:c r="Q202" s="26" t="n">
        <x:f>O202/SUM($O$5:$O$320)*SUMIF(Workload!$A$5:$A$40,"Ecology",Workload!$G$5:$G$40)</x:f>
        <x:v>17.180033278152294</x:v>
      </x:c>
      <x:c r="R202" s="27" t="n">
        <x:f>P202/SUMIF(Workload!$A$5:$A$40,"Grounds",Workload!$G$5:$G$40)*Staffing!$J$5+Q202/SUMIF(Workload!$A$5:$A$40,"Ecology",Workload!$G$5:$G$40)*Staffing!$J$7</x:f>
        <x:v>9935.07474506487</x:v>
      </x:c>
      <x:c r="S202" s="7" t="n">
        <x:v>0</x:v>
      </x:c>
      <x:c r="T202" s="23" t="n">
        <x:v>0</x:v>
      </x:c>
      <x:c r="U202" s="7" t="n">
        <x:v>0</x:v>
      </x:c>
      <x:c r="V202" s="7" t="n">
        <x:v>0</x:v>
      </x:c>
      <x:c r="W202" s="7" t="str">
        <x:v>https://parks.portlandciviclab.org/parks/n-swan-island-boat-ramp-341</x:v>
      </x:c>
    </x:row>
    <x:row r="203" ht="23" customHeight="1">
      <x:c r="A203" s="8" t="str">
        <x:v>1257</x:v>
      </x:c>
      <x:c r="B203" s="8" t="str">
        <x:v>N Willamette and Bryant</x:v>
      </x:c>
      <x:c r="C203" s="8" t="str">
        <x:v>uncertain</x:v>
      </x:c>
      <x:c r="D203" s="8" t="str">
        <x:v>District 2</x:v>
      </x:c>
      <x:c r="E203" s="18" t="n">
        <x:v>0.01336551</x:v>
      </x:c>
      <x:c r="F203" s="8" t="n">
        <x:v>1</x:v>
      </x:c>
      <x:c r="G203" s="8" t="n">
        <x:v>0</x:v>
      </x:c>
      <x:c r="H203" s="8" t="n">
        <x:v>0</x:v>
      </x:c>
      <x:c r="I203" s="8" t="n">
        <x:v>0</x:v>
      </x:c>
      <x:c r="J203" s="8" t="n">
        <x:v>0</x:v>
      </x:c>
      <x:c r="K203" s="8" t="n">
        <x:v>0</x:v>
      </x:c>
      <x:c r="L203" s="24" t="n">
        <x:f>F203*'Service inputs'!B74*'Service inputs'!C74</x:f>
        <x:v>52</x:v>
      </x:c>
      <x:c r="M203" s="24" t="n">
        <x:f>F203*E203*'Service inputs'!D74</x:f>
        <x:v>0.001336551</x:v>
      </x:c>
      <x:c r="N203" s="24" t="n">
        <x:f>F203*E203*'Service inputs'!E74</x:f>
        <x:v>0.0002673102</x:v>
      </x:c>
      <x:c r="O203" s="24" t="n">
        <x:f>F203*E203*'Service inputs'!F74</x:f>
        <x:v>0.006682755</x:v>
      </x:c>
      <x:c r="P203" s="24" t="n">
        <x:f>L203+F203*G203*'Service inputs'!$B$17*'Service inputs'!$B$18*'Service inputs'!$B$19+M203*('Service inputs'!$B$20*'Service inputs'!$B$21+'Service inputs'!$B$22)+N203*'Service inputs'!$B$23+F203*(H203*'Service inputs'!$B$28*'Service inputs'!$B$29+I203*'Service inputs'!$B$24*'Service inputs'!$B$25+J203*'Service inputs'!$B$26*'Service inputs'!$B$27+K203*'Service inputs'!$B$30*'Service inputs'!$B$31)</x:f>
        <x:v>52.062817896999995</x:v>
      </x:c>
      <x:c r="Q203" s="24" t="n">
        <x:f>O203/SUM($O$5:$O$320)*SUMIF(Workload!$A$5:$A$40,"Ecology",Workload!$G$5:$G$40)</x:f>
        <x:v>0.07015361564165198</x:v>
      </x:c>
      <x:c r="R203" s="25" t="n">
        <x:f>P203/SUMIF(Workload!$A$5:$A$40,"Grounds",Workload!$G$5:$G$40)*Staffing!$J$5+Q203/SUMIF(Workload!$A$5:$A$40,"Ecology",Workload!$G$5:$G$40)*Staffing!$J$7</x:f>
        <x:v>5299.464167184573</x:v>
      </x:c>
      <x:c r="S203" s="8" t="n">
        <x:v>0</x:v>
      </x:c>
      <x:c r="T203" s="22" t="n">
        <x:v>0</x:v>
      </x:c>
      <x:c r="U203" s="8" t="n">
        <x:v>0</x:v>
      </x:c>
      <x:c r="V203" s="8" t="n">
        <x:v>0</x:v>
      </x:c>
      <x:c r="W203" s="8" t="str">
        <x:v>https://parks.portlandciviclab.org/parks/n-willamette-and-bryant-1257</x:v>
      </x:c>
    </x:row>
    <x:row r="204" ht="23" customHeight="1">
      <x:c r="A204" s="7" t="str">
        <x:v>402</x:v>
      </x:c>
      <x:c r="B204" s="7" t="str">
        <x:v>NE Holman and 13th</x:v>
      </x:c>
      <x:c r="C204" s="7" t="str">
        <x:v>uncertain</x:v>
      </x:c>
      <x:c r="D204" s="7" t="str">
        <x:v>District 2</x:v>
      </x:c>
      <x:c r="E204" s="19" t="n">
        <x:v>0.13335805</x:v>
      </x:c>
      <x:c r="F204" s="7" t="n">
        <x:v>1</x:v>
      </x:c>
      <x:c r="G204" s="7" t="n">
        <x:v>0</x:v>
      </x:c>
      <x:c r="H204" s="7" t="n">
        <x:v>0</x:v>
      </x:c>
      <x:c r="I204" s="7" t="n">
        <x:v>0</x:v>
      </x:c>
      <x:c r="J204" s="7" t="n">
        <x:v>0</x:v>
      </x:c>
      <x:c r="K204" s="7" t="n">
        <x:v>0</x:v>
      </x:c>
      <x:c r="L204" s="26" t="n">
        <x:f>F204*'Service inputs'!B74*'Service inputs'!C74</x:f>
        <x:v>52</x:v>
      </x:c>
      <x:c r="M204" s="26" t="n">
        <x:f>F204*E204*'Service inputs'!D74</x:f>
        <x:v>0.013335805000000001</x:v>
      </x:c>
      <x:c r="N204" s="26" t="n">
        <x:f>F204*E204*'Service inputs'!E74</x:f>
        <x:v>0.0026671610000000004</x:v>
      </x:c>
      <x:c r="O204" s="26" t="n">
        <x:f>F204*E204*'Service inputs'!F74</x:f>
        <x:v>0.066679025</x:v>
      </x:c>
      <x:c r="P204" s="26" t="n">
        <x:f>L204+F204*G204*'Service inputs'!$B$17*'Service inputs'!$B$18*'Service inputs'!$B$19+M204*('Service inputs'!$B$20*'Service inputs'!$B$21+'Service inputs'!$B$22)+N204*'Service inputs'!$B$23+F204*(H204*'Service inputs'!$B$28*'Service inputs'!$B$29+I204*'Service inputs'!$B$24*'Service inputs'!$B$25+J204*'Service inputs'!$B$26*'Service inputs'!$B$27+K204*'Service inputs'!$B$30*'Service inputs'!$B$31)</x:f>
        <x:v>52.626782835</x:v>
      </x:c>
      <x:c r="Q204" s="26" t="n">
        <x:f>O204/SUM($O$5:$O$320)*SUMIF(Workload!$A$5:$A$40,"Ecology",Workload!$G$5:$G$40)</x:f>
        <x:v>0.6999769842243361</x:v>
      </x:c>
      <x:c r="R204" s="27" t="n">
        <x:f>P204/SUMIF(Workload!$A$5:$A$40,"Grounds",Workload!$G$5:$G$40)*Staffing!$J$5+Q204/SUMIF(Workload!$A$5:$A$40,"Ecology",Workload!$G$5:$G$40)*Staffing!$J$7</x:f>
        <x:v>5429.674034881437</x:v>
      </x:c>
      <x:c r="S204" s="7" t="n">
        <x:v>9</x:v>
      </x:c>
      <x:c r="T204" s="23" t="n">
        <x:v>0.3333333333333333</x:v>
      </x:c>
      <x:c r="U204" s="7" t="n">
        <x:v>3</x:v>
      </x:c>
      <x:c r="V204" s="7" t="n">
        <x:v>0</x:v>
      </x:c>
      <x:c r="W204" s="7" t="str">
        <x:v>https://parks.portlandciviclab.org/parks/ne-holman-and-13th-402</x:v>
      </x:c>
    </x:row>
    <x:row r="205" ht="23" customHeight="1">
      <x:c r="A205" s="8" t="str">
        <x:v>436</x:v>
      </x:c>
      <x:c r="B205" s="8" t="str">
        <x:v>NE Sumner &amp; 47th</x:v>
      </x:c>
      <x:c r="C205" s="8" t="str">
        <x:v>uncertain</x:v>
      </x:c>
      <x:c r="D205" s="8" t="str">
        <x:v>District 2</x:v>
      </x:c>
      <x:c r="E205" s="18" t="n">
        <x:v>0.35125622</x:v>
      </x:c>
      <x:c r="F205" s="8" t="n">
        <x:v>1</x:v>
      </x:c>
      <x:c r="G205" s="8" t="n">
        <x:v>0</x:v>
      </x:c>
      <x:c r="H205" s="8" t="n">
        <x:v>0</x:v>
      </x:c>
      <x:c r="I205" s="8" t="n">
        <x:v>0</x:v>
      </x:c>
      <x:c r="J205" s="8" t="n">
        <x:v>0</x:v>
      </x:c>
      <x:c r="K205" s="8" t="n">
        <x:v>0</x:v>
      </x:c>
      <x:c r="L205" s="24" t="n">
        <x:f>F205*'Service inputs'!B74*'Service inputs'!C74</x:f>
        <x:v>52</x:v>
      </x:c>
      <x:c r="M205" s="24" t="n">
        <x:f>F205*E205*'Service inputs'!D74</x:f>
        <x:v>0.035125622</x:v>
      </x:c>
      <x:c r="N205" s="24" t="n">
        <x:f>F205*E205*'Service inputs'!E74</x:f>
        <x:v>0.0070251244</x:v>
      </x:c>
      <x:c r="O205" s="24" t="n">
        <x:f>F205*E205*'Service inputs'!F74</x:f>
        <x:v>0.17562811</x:v>
      </x:c>
      <x:c r="P205" s="24" t="n">
        <x:f>L205+F205*G205*'Service inputs'!$B$17*'Service inputs'!$B$18*'Service inputs'!$B$19+M205*('Service inputs'!$B$20*'Service inputs'!$B$21+'Service inputs'!$B$22)+N205*'Service inputs'!$B$23+F205*(H205*'Service inputs'!$B$28*'Service inputs'!$B$29+I205*'Service inputs'!$B$24*'Service inputs'!$B$25+J205*'Service inputs'!$B$26*'Service inputs'!$B$27+K205*'Service inputs'!$B$30*'Service inputs'!$B$31)</x:f>
        <x:v>53.650904234</x:v>
      </x:c>
      <x:c r="Q205" s="24" t="n">
        <x:f>O205/SUM($O$5:$O$320)*SUMIF(Workload!$A$5:$A$40,"Ecology",Workload!$G$5:$G$40)</x:f>
        <x:v>1.8436927471992877</x:v>
      </x:c>
      <x:c r="R205" s="25" t="n">
        <x:f>P205/SUMIF(Workload!$A$5:$A$40,"Grounds",Workload!$G$5:$G$40)*Staffing!$J$5+Q205/SUMIF(Workload!$A$5:$A$40,"Ecology",Workload!$G$5:$G$40)*Staffing!$J$7</x:f>
        <x:v>5666.1261667147055</x:v>
      </x:c>
      <x:c r="S205" s="8" t="n">
        <x:v>0</x:v>
      </x:c>
      <x:c r="T205" s="22" t="n">
        <x:v>0</x:v>
      </x:c>
      <x:c r="U205" s="8" t="n">
        <x:v>0</x:v>
      </x:c>
      <x:c r="V205" s="8" t="n">
        <x:v>0</x:v>
      </x:c>
      <x:c r="W205" s="8" t="str">
        <x:v>https://parks.portlandciviclab.org/parks/ne-sumner-and-47th-436</x:v>
      </x:c>
    </x:row>
    <x:row r="206" ht="23" customHeight="1">
      <x:c r="A206" s="7" t="str">
        <x:v>444</x:v>
      </x:c>
      <x:c r="B206" s="7" t="str">
        <x:v>Normandale Park</x:v>
      </x:c>
      <x:c r="C206" s="7" t="str">
        <x:v>developed-park</x:v>
      </x:c>
      <x:c r="D206" s="7" t="str">
        <x:v>District 3</x:v>
      </x:c>
      <x:c r="E206" s="19" t="n">
        <x:v>13.69053148</x:v>
      </x:c>
      <x:c r="F206" s="7" t="n">
        <x:v>1</x:v>
      </x:c>
      <x:c r="G206" s="7" t="n">
        <x:v>1</x:v>
      </x:c>
      <x:c r="H206" s="7" t="n">
        <x:v>1</x:v>
      </x:c>
      <x:c r="I206" s="7" t="n">
        <x:v>5</x:v>
      </x:c>
      <x:c r="J206" s="7" t="n">
        <x:v>1</x:v>
      </x:c>
      <x:c r="K206" s="7" t="n">
        <x:v>0</x:v>
      </x:c>
      <x:c r="L206" s="26" t="n">
        <x:f>F206*'Service inputs'!B65*'Service inputs'!C65</x:f>
        <x:v>547.5</x:v>
      </x:c>
      <x:c r="M206" s="26" t="n">
        <x:f>F206*E206*'Service inputs'!D65</x:f>
        <x:v>7.529792314000001</x:v>
      </x:c>
      <x:c r="N206" s="26" t="n">
        <x:f>F206*E206*'Service inputs'!E65</x:f>
        <x:v>0.684526574</x:v>
      </x:c>
      <x:c r="O206" s="26" t="n">
        <x:f>F206*E206*'Service inputs'!F65</x:f>
        <x:v>3.42263287</x:v>
      </x:c>
      <x:c r="P206" s="26" t="n">
        <x:f>L206+F206*G206*'Service inputs'!$B$17*'Service inputs'!$B$18*'Service inputs'!$B$19+M206*('Service inputs'!$B$20*'Service inputs'!$B$21+'Service inputs'!$B$22)+N206*'Service inputs'!$B$23+F206*(H206*'Service inputs'!$B$28*'Service inputs'!$B$29+I206*'Service inputs'!$B$24*'Service inputs'!$B$25+J206*'Service inputs'!$B$26*'Service inputs'!$B$27+K206*'Service inputs'!$B$30*'Service inputs'!$B$31)</x:f>
        <x:v>1706.5784121020001</x:v>
      </x:c>
      <x:c r="Q206" s="26" t="n">
        <x:f>O206/SUM($O$5:$O$320)*SUMIF(Workload!$A$5:$A$40,"Ecology",Workload!$G$5:$G$40)</x:f>
        <x:v>35.92980302950867</x:v>
      </x:c>
      <x:c r="R206" s="27" t="n">
        <x:f>P206/SUMIF(Workload!$A$5:$A$40,"Grounds",Workload!$G$5:$G$40)*Staffing!$J$5+Q206/SUMIF(Workload!$A$5:$A$40,"Ecology",Workload!$G$5:$G$40)*Staffing!$J$7</x:f>
        <x:v>177604.44450541108</x:v>
      </x:c>
      <x:c r="S206" s="7" t="n">
        <x:v>165</x:v>
      </x:c>
      <x:c r="T206" s="23" t="n">
        <x:v>0.2</x:v>
      </x:c>
      <x:c r="U206" s="7" t="n">
        <x:v>8</x:v>
      </x:c>
      <x:c r="V206" s="7" t="n">
        <x:v>0</x:v>
      </x:c>
      <x:c r="W206" s="7" t="str">
        <x:v>https://parks.portlandciviclab.org/parks/normandale-park-444</x:v>
      </x:c>
    </x:row>
    <x:row r="207" ht="23" customHeight="1">
      <x:c r="A207" s="8" t="str">
        <x:v>447</x:v>
      </x:c>
      <x:c r="B207" s="8" t="str">
        <x:v>North Park Blocks</x:v>
      </x:c>
      <x:c r="C207" s="8" t="str">
        <x:v>developed-park</x:v>
      </x:c>
      <x:c r="D207" s="8" t="str">
        <x:v>District 4</x:v>
      </x:c>
      <x:c r="E207" s="18" t="n">
        <x:v>3.11287941</x:v>
      </x:c>
      <x:c r="F207" s="8" t="n">
        <x:v>1</x:v>
      </x:c>
      <x:c r="G207" s="8" t="n">
        <x:v>3</x:v>
      </x:c>
      <x:c r="H207" s="8" t="n">
        <x:v>1</x:v>
      </x:c>
      <x:c r="I207" s="8" t="n">
        <x:v>0</x:v>
      </x:c>
      <x:c r="J207" s="8" t="n">
        <x:v>4</x:v>
      </x:c>
      <x:c r="K207" s="8" t="n">
        <x:v>0</x:v>
      </x:c>
      <x:c r="L207" s="24" t="n">
        <x:f>F207*'Service inputs'!B65*'Service inputs'!C65</x:f>
        <x:v>547.5</x:v>
      </x:c>
      <x:c r="M207" s="24" t="n">
        <x:f>F207*E207*'Service inputs'!D65</x:f>
        <x:v>1.7120836755000002</x:v>
      </x:c>
      <x:c r="N207" s="24" t="n">
        <x:f>F207*E207*'Service inputs'!E65</x:f>
        <x:v>0.1556439705</x:v>
      </x:c>
      <x:c r="O207" s="24" t="n">
        <x:f>F207*E207*'Service inputs'!F65</x:f>
        <x:v>0.7782198525</x:v>
      </x:c>
      <x:c r="P207" s="24" t="n">
        <x:f>L207+F207*G207*'Service inputs'!$B$17*'Service inputs'!$B$18*'Service inputs'!$B$19+M207*('Service inputs'!$B$20*'Service inputs'!$B$21+'Service inputs'!$B$22)+N207*'Service inputs'!$B$23+F207*(H207*'Service inputs'!$B$28*'Service inputs'!$B$29+I207*'Service inputs'!$B$24*'Service inputs'!$B$25+J207*'Service inputs'!$B$26*'Service inputs'!$B$27+K207*'Service inputs'!$B$30*'Service inputs'!$B$31)</x:f>
        <x:v>1681.8052009965</x:v>
      </x:c>
      <x:c r="Q207" s="24" t="n">
        <x:f>O207/SUM($O$5:$O$320)*SUMIF(Workload!$A$5:$A$40,"Ecology",Workload!$G$5:$G$40)</x:f>
        <x:v>8.169525355484094</x:v>
      </x:c>
      <x:c r="R207" s="25" t="n">
        <x:f>P207/SUMIF(Workload!$A$5:$A$40,"Grounds",Workload!$G$5:$G$40)*Staffing!$J$5+Q207/SUMIF(Workload!$A$5:$A$40,"Ecology",Workload!$G$5:$G$40)*Staffing!$J$7</x:f>
        <x:v>171873.8413811875</x:v>
      </x:c>
      <x:c r="S207" s="8" t="n">
        <x:v>78</x:v>
      </x:c>
      <x:c r="T207" s="22" t="n">
        <x:v>0.01282051282051282</x:v>
      </x:c>
      <x:c r="U207" s="8" t="n">
        <x:v>1</x:v>
      </x:c>
      <x:c r="V207" s="8" t="n">
        <x:v>0</x:v>
      </x:c>
      <x:c r="W207" s="8" t="str">
        <x:v>https://parks.portlandciviclab.org/parks/north-park-blocks-447</x:v>
      </x:c>
    </x:row>
    <x:row r="208" ht="23" customHeight="1">
      <x:c r="A208" s="7" t="str">
        <x:v>449</x:v>
      </x:c>
      <x:c r="B208" s="7" t="str">
        <x:v>North Powellhurst Park</x:v>
      </x:c>
      <x:c r="C208" s="7" t="str">
        <x:v>developed-park</x:v>
      </x:c>
      <x:c r="D208" s="7" t="str">
        <x:v>District 1</x:v>
      </x:c>
      <x:c r="E208" s="19" t="n">
        <x:v>3.90412108</x:v>
      </x:c>
      <x:c r="F208" s="7" t="n">
        <x:v>1</x:v>
      </x:c>
      <x:c r="G208" s="7" t="n">
        <x:v>0</x:v>
      </x:c>
      <x:c r="H208" s="7" t="n">
        <x:v>0</x:v>
      </x:c>
      <x:c r="I208" s="7" t="n">
        <x:v>0</x:v>
      </x:c>
      <x:c r="J208" s="7" t="n">
        <x:v>0</x:v>
      </x:c>
      <x:c r="K208" s="7" t="n">
        <x:v>0</x:v>
      </x:c>
      <x:c r="L208" s="26" t="n">
        <x:f>F208*'Service inputs'!B65*'Service inputs'!C65</x:f>
        <x:v>547.5</x:v>
      </x:c>
      <x:c r="M208" s="26" t="n">
        <x:f>F208*E208*'Service inputs'!D65</x:f>
        <x:v>2.147266594</x:v>
      </x:c>
      <x:c r="N208" s="26" t="n">
        <x:f>F208*E208*'Service inputs'!E65</x:f>
        <x:v>0.19520605400000002</x:v>
      </x:c>
      <x:c r="O208" s="26" t="n">
        <x:f>F208*E208*'Service inputs'!F65</x:f>
        <x:v>0.97603027</x:v>
      </x:c>
      <x:c r="P208" s="26" t="n">
        <x:f>L208+F208*G208*'Service inputs'!$B$17*'Service inputs'!$B$18*'Service inputs'!$B$19+M208*('Service inputs'!$B$20*'Service inputs'!$B$21+'Service inputs'!$B$22)+N208*'Service inputs'!$B$23+F208*(H208*'Service inputs'!$B$28*'Service inputs'!$B$29+I208*'Service inputs'!$B$24*'Service inputs'!$B$25+J208*'Service inputs'!$B$26*'Service inputs'!$B$27+K208*'Service inputs'!$B$30*'Service inputs'!$B$31)</x:f>
        <x:v>620.311858142</x:v>
      </x:c>
      <x:c r="Q208" s="26" t="n">
        <x:f>O208/SUM($O$5:$O$320)*SUMIF(Workload!$A$5:$A$40,"Ecology",Workload!$G$5:$G$40)</x:f>
        <x:v>10.24608150623475</x:v>
      </x:c>
      <x:c r="R208" s="27" t="n">
        <x:f>P208/SUMIF(Workload!$A$5:$A$40,"Grounds",Workload!$G$5:$G$40)*Staffing!$J$5+Q208/SUMIF(Workload!$A$5:$A$40,"Ecology",Workload!$G$5:$G$40)*Staffing!$J$7</x:f>
        <x:v>64230.50628483642</x:v>
      </x:c>
      <x:c r="S208" s="7" t="n">
        <x:v>0</x:v>
      </x:c>
      <x:c r="T208" s="23" t="n">
        <x:v>0</x:v>
      </x:c>
      <x:c r="U208" s="7" t="n">
        <x:v>0</x:v>
      </x:c>
      <x:c r="V208" s="7" t="n">
        <x:v>0</x:v>
      </x:c>
      <x:c r="W208" s="7" t="str">
        <x:v>https://parks.portlandciviclab.org/parks/north-powellhurst-park-449</x:v>
      </x:c>
    </x:row>
    <x:row r="209" ht="23" customHeight="1">
      <x:c r="A209" s="8" t="str">
        <x:v>451</x:v>
      </x:c>
      <x:c r="B209" s="8" t="str">
        <x:v>Northgate Park</x:v>
      </x:c>
      <x:c r="C209" s="8" t="str">
        <x:v>developed-park</x:v>
      </x:c>
      <x:c r="D209" s="8" t="str">
        <x:v>District 2</x:v>
      </x:c>
      <x:c r="E209" s="18" t="n">
        <x:v>10.87195279</x:v>
      </x:c>
      <x:c r="F209" s="8" t="n">
        <x:v>1</x:v>
      </x:c>
      <x:c r="G209" s="8" t="n">
        <x:v>1</x:v>
      </x:c>
      <x:c r="H209" s="8" t="n">
        <x:v>1</x:v>
      </x:c>
      <x:c r="I209" s="8" t="n">
        <x:v>3</x:v>
      </x:c>
      <x:c r="J209" s="8" t="n">
        <x:v>2</x:v>
      </x:c>
      <x:c r="K209" s="8" t="n">
        <x:v>1</x:v>
      </x:c>
      <x:c r="L209" s="24" t="n">
        <x:f>F209*'Service inputs'!B65*'Service inputs'!C65</x:f>
        <x:v>547.5</x:v>
      </x:c>
      <x:c r="M209" s="24" t="n">
        <x:f>F209*E209*'Service inputs'!D65</x:f>
        <x:v>5.979574034500001</x:v>
      </x:c>
      <x:c r="N209" s="24" t="n">
        <x:f>F209*E209*'Service inputs'!E65</x:f>
        <x:v>0.5435976395000001</x:v>
      </x:c>
      <x:c r="O209" s="24" t="n">
        <x:f>F209*E209*'Service inputs'!F65</x:f>
        <x:v>2.7179881975</x:v>
      </x:c>
      <x:c r="P209" s="24" t="n">
        <x:f>L209+F209*G209*'Service inputs'!$B$17*'Service inputs'!$B$18*'Service inputs'!$B$19+M209*('Service inputs'!$B$20*'Service inputs'!$B$21+'Service inputs'!$B$22)+N209*'Service inputs'!$B$23+F209*(H209*'Service inputs'!$B$28*'Service inputs'!$B$29+I209*'Service inputs'!$B$24*'Service inputs'!$B$25+J209*'Service inputs'!$B$26*'Service inputs'!$B$27+K209*'Service inputs'!$B$30*'Service inputs'!$B$31)</x:f>
        <x:v>1510.0119195335</x:v>
      </x:c>
      <x:c r="Q209" s="24" t="n">
        <x:f>O209/SUM($O$5:$O$320)*SUMIF(Workload!$A$5:$A$40,"Ecology",Workload!$G$5:$G$40)</x:f>
        <x:v>28.532648484937944</x:v>
      </x:c>
      <x:c r="R209" s="25" t="n">
        <x:f>P209/SUMIF(Workload!$A$5:$A$40,"Grounds",Workload!$G$5:$G$40)*Staffing!$J$5+Q209/SUMIF(Workload!$A$5:$A$40,"Ecology",Workload!$G$5:$G$40)*Staffing!$J$7</x:f>
        <x:v>156770.53182863758</x:v>
      </x:c>
      <x:c r="S209" s="8" t="n">
        <x:v>81</x:v>
      </x:c>
      <x:c r="T209" s="22" t="n">
        <x:v>0.1728395061728395</x:v>
      </x:c>
      <x:c r="U209" s="8" t="n">
        <x:v>7</x:v>
      </x:c>
      <x:c r="V209" s="8" t="n">
        <x:v>0</x:v>
      </x:c>
      <x:c r="W209" s="8" t="str">
        <x:v>https://parks.portlandciviclab.org/parks/northgate-park-451</x:v>
      </x:c>
    </x:row>
    <x:row r="210" ht="23" customHeight="1">
      <x:c r="A210" s="7" t="str">
        <x:v>490</x:v>
      </x:c>
      <x:c r="B210" s="7" t="str">
        <x:v>Oaks Bottom Wildlife Refuge</x:v>
      </x:c>
      <x:c r="C210" s="7" t="str">
        <x:v>natural-area</x:v>
      </x:c>
      <x:c r="D210" s="7" t="str">
        <x:v>District 4</x:v>
      </x:c>
      <x:c r="E210" s="19" t="n">
        <x:v>161.58184174</x:v>
      </x:c>
      <x:c r="F210" s="7" t="n">
        <x:v>1</x:v>
      </x:c>
      <x:c r="G210" s="7" t="n">
        <x:v>0</x:v>
      </x:c>
      <x:c r="H210" s="7" t="n">
        <x:v>0</x:v>
      </x:c>
      <x:c r="I210" s="7" t="n">
        <x:v>0</x:v>
      </x:c>
      <x:c r="J210" s="7" t="n">
        <x:v>0</x:v>
      </x:c>
      <x:c r="K210" s="7" t="n">
        <x:v>0</x:v>
      </x:c>
      <x:c r="L210" s="26" t="n">
        <x:f>F210*'Service inputs'!B66*'Service inputs'!C66</x:f>
        <x:v>78</x:v>
      </x:c>
      <x:c r="M210" s="26" t="n">
        <x:f>F210*E210*'Service inputs'!D66</x:f>
        <x:v>0.8079092086999999</x:v>
      </x:c>
      <x:c r="N210" s="26" t="n">
        <x:f>F210*E210*'Service inputs'!E66</x:f>
        <x:v>0</x:v>
      </x:c>
      <x:c r="O210" s="26" t="n">
        <x:f>F210*E210*'Service inputs'!F66</x:f>
        <x:v>159.9660233226</x:v>
      </x:c>
      <x:c r="P210" s="26" t="n">
        <x:f>L210+F210*G210*'Service inputs'!$B$17*'Service inputs'!$B$18*'Service inputs'!$B$19+M210*('Service inputs'!$B$20*'Service inputs'!$B$21+'Service inputs'!$B$22)+N210*'Service inputs'!$B$23+F210*(H210*'Service inputs'!$B$28*'Service inputs'!$B$29+I210*'Service inputs'!$B$24*'Service inputs'!$B$25+J210*'Service inputs'!$B$26*'Service inputs'!$B$27+K210*'Service inputs'!$B$30*'Service inputs'!$B$31)</x:f>
        <x:v>96.5819118001</x:v>
      </x:c>
      <x:c r="Q210" s="26" t="n">
        <x:f>O210/SUM($O$5:$O$320)*SUMIF(Workload!$A$5:$A$40,"Ecology",Workload!$G$5:$G$40)</x:f>
        <x:v>1679.2767228332052</x:v>
      </x:c>
      <x:c r="R210" s="27" t="n">
        <x:f>P210/SUMIF(Workload!$A$5:$A$40,"Grounds",Workload!$G$5:$G$40)*Staffing!$J$5+Q210/SUMIF(Workload!$A$5:$A$40,"Ecology",Workload!$G$5:$G$40)*Staffing!$J$7</x:f>
        <x:v>204165.2920716135</x:v>
      </x:c>
      <x:c r="S210" s="7" t="n">
        <x:v>41</x:v>
      </x:c>
      <x:c r="T210" s="23" t="n">
        <x:v>0.5121951219512195</x:v>
      </x:c>
      <x:c r="U210" s="7" t="n">
        <x:v>0</x:v>
      </x:c>
      <x:c r="V210" s="7" t="n">
        <x:v>4</x:v>
      </x:c>
      <x:c r="W210" s="7" t="str">
        <x:v>https://parks.portlandciviclab.org/parks/oaks-bottom-wildlife-refuge-490</x:v>
      </x:c>
    </x:row>
    <x:row r="211" ht="23" customHeight="1">
      <x:c r="A211" s="8" t="str">
        <x:v>491</x:v>
      </x:c>
      <x:c r="B211" s="8" t="str">
        <x:v>Oaks Crossing</x:v>
      </x:c>
      <x:c r="C211" s="8" t="str">
        <x:v>natural-area</x:v>
      </x:c>
      <x:c r="D211" s="8" t="str">
        <x:v>District 4</x:v>
      </x:c>
      <x:c r="E211" s="18" t="n">
        <x:v>6.02662602</x:v>
      </x:c>
      <x:c r="F211" s="8" t="n">
        <x:v>1</x:v>
      </x:c>
      <x:c r="G211" s="8" t="n">
        <x:v>0</x:v>
      </x:c>
      <x:c r="H211" s="8" t="n">
        <x:v>0</x:v>
      </x:c>
      <x:c r="I211" s="8" t="n">
        <x:v>0</x:v>
      </x:c>
      <x:c r="J211" s="8" t="n">
        <x:v>0</x:v>
      </x:c>
      <x:c r="K211" s="8" t="n">
        <x:v>0</x:v>
      </x:c>
      <x:c r="L211" s="24" t="n">
        <x:f>F211*'Service inputs'!B66*'Service inputs'!C66</x:f>
        <x:v>78</x:v>
      </x:c>
      <x:c r="M211" s="24" t="n">
        <x:f>F211*E211*'Service inputs'!D66</x:f>
        <x:v>0.030133130100000002</x:v>
      </x:c>
      <x:c r="N211" s="24" t="n">
        <x:f>F211*E211*'Service inputs'!E66</x:f>
        <x:v>0</x:v>
      </x:c>
      <x:c r="O211" s="24" t="n">
        <x:f>F211*E211*'Service inputs'!F66</x:f>
        <x:v>5.9663597598</x:v>
      </x:c>
      <x:c r="P211" s="24" t="n">
        <x:f>L211+F211*G211*'Service inputs'!$B$17*'Service inputs'!$B$18*'Service inputs'!$B$19+M211*('Service inputs'!$B$20*'Service inputs'!$B$21+'Service inputs'!$B$22)+N211*'Service inputs'!$B$23+F211*(H211*'Service inputs'!$B$28*'Service inputs'!$B$29+I211*'Service inputs'!$B$24*'Service inputs'!$B$25+J211*'Service inputs'!$B$26*'Service inputs'!$B$27+K211*'Service inputs'!$B$30*'Service inputs'!$B$31)</x:f>
        <x:v>78.6930619923</x:v>
      </x:c>
      <x:c r="Q211" s="24" t="n">
        <x:f>O211/SUM($O$5:$O$320)*SUMIF(Workload!$A$5:$A$40,"Ecology",Workload!$G$5:$G$40)</x:f>
        <x:v>62.633107059712394</x:v>
      </x:c>
      <x:c r="R211" s="25" t="n">
        <x:f>P211/SUMIF(Workload!$A$5:$A$40,"Grounds",Workload!$G$5:$G$40)*Staffing!$J$5+Q211/SUMIF(Workload!$A$5:$A$40,"Ecology",Workload!$G$5:$G$40)*Staffing!$J$7</x:f>
        <x:v>15246.655265158104</x:v>
      </x:c>
      <x:c r="S211" s="8" t="n">
        <x:v>4</x:v>
      </x:c>
      <x:c r="T211" s="22" t="n">
        <x:v>0.25</x:v>
      </x:c>
      <x:c r="U211" s="8" t="n">
        <x:v>0</x:v>
      </x:c>
      <x:c r="V211" s="8" t="n">
        <x:v>0</x:v>
      </x:c>
      <x:c r="W211" s="8" t="str">
        <x:v>https://parks.portlandciviclab.org/parks/oaks-crossing-491</x:v>
      </x:c>
    </x:row>
    <x:row r="212" ht="23" customHeight="1">
      <x:c r="A212" s="7" t="str">
        <x:v>492</x:v>
      </x:c>
      <x:c r="B212" s="7" t="str">
        <x:v>Oaks Pioneer Church and Park</x:v>
      </x:c>
      <x:c r="C212" s="7" t="str">
        <x:v>developed-park</x:v>
      </x:c>
      <x:c r="D212" s="7" t="str">
        <x:v>District 4</x:v>
      </x:c>
      <x:c r="E212" s="19" t="n">
        <x:v>1.30979814</x:v>
      </x:c>
      <x:c r="F212" s="7" t="n">
        <x:v>1</x:v>
      </x:c>
      <x:c r="G212" s="7" t="n">
        <x:v>0</x:v>
      </x:c>
      <x:c r="H212" s="7" t="n">
        <x:v>0</x:v>
      </x:c>
      <x:c r="I212" s="7" t="n">
        <x:v>0</x:v>
      </x:c>
      <x:c r="J212" s="7" t="n">
        <x:v>0</x:v>
      </x:c>
      <x:c r="K212" s="7" t="n">
        <x:v>0</x:v>
      </x:c>
      <x:c r="L212" s="26" t="n">
        <x:f>F212*'Service inputs'!B65*'Service inputs'!C65</x:f>
        <x:v>547.5</x:v>
      </x:c>
      <x:c r="M212" s="26" t="n">
        <x:f>F212*E212*'Service inputs'!D65</x:f>
        <x:v>0.720388977</x:v>
      </x:c>
      <x:c r="N212" s="26" t="n">
        <x:f>F212*E212*'Service inputs'!E65</x:f>
        <x:v>0.065489907</x:v>
      </x:c>
      <x:c r="O212" s="26" t="n">
        <x:f>F212*E212*'Service inputs'!F65</x:f>
        <x:v>0.327449535</x:v>
      </x:c>
      <x:c r="P212" s="26" t="n">
        <x:f>L212+F212*G212*'Service inputs'!$B$17*'Service inputs'!$B$18*'Service inputs'!$B$19+M212*('Service inputs'!$B$20*'Service inputs'!$B$21+'Service inputs'!$B$22)+N212*'Service inputs'!$B$23+F212*(H212*'Service inputs'!$B$28*'Service inputs'!$B$29+I212*'Service inputs'!$B$24*'Service inputs'!$B$25+J212*'Service inputs'!$B$26*'Service inputs'!$B$27+K212*'Service inputs'!$B$30*'Service inputs'!$B$31)</x:f>
        <x:v>571.927735311</x:v>
      </x:c>
      <x:c r="Q212" s="26" t="n">
        <x:f>O212/SUM($O$5:$O$320)*SUMIF(Workload!$A$5:$A$40,"Ecology",Workload!$G$5:$G$40)</x:f>
        <x:v>3.4374698489511686</x:v>
      </x:c>
      <x:c r="R212" s="27" t="n">
        <x:f>P212/SUMIF(Workload!$A$5:$A$40,"Grounds",Workload!$G$5:$G$40)*Staffing!$J$5+Q212/SUMIF(Workload!$A$5:$A$40,"Ecology",Workload!$G$5:$G$40)*Staffing!$J$7</x:f>
        <x:v>58525.05383578712</x:v>
      </x:c>
      <x:c r="S212" s="7" t="n">
        <x:v>14</x:v>
      </x:c>
      <x:c r="T212" s="23" t="n">
        <x:v>0</x:v>
      </x:c>
      <x:c r="U212" s="7" t="n">
        <x:v>0</x:v>
      </x:c>
      <x:c r="V212" s="7" t="n">
        <x:v>0</x:v>
      </x:c>
      <x:c r="W212" s="7" t="str">
        <x:v>https://parks.portlandciviclab.org/parks/oaks-pioneer-church-and-park-492</x:v>
      </x:c>
    </x:row>
    <x:row r="213" ht="23" customHeight="1">
      <x:c r="A213" s="8" t="str">
        <x:v>1464</x:v>
      </x:c>
      <x:c r="B213" s="8" t="str">
        <x:v>Oliver-Parklane Community Garden</x:v>
      </x:c>
      <x:c r="C213" s="8" t="str">
        <x:v>community-garden</x:v>
      </x:c>
      <x:c r="D213" s="8" t="str">
        <x:v>District 1</x:v>
      </x:c>
      <x:c r="E213" s="18" t="n">
        <x:v>0.23815344</x:v>
      </x:c>
      <x:c r="F213" s="8" t="n">
        <x:v>1</x:v>
      </x:c>
      <x:c r="G213" s="8" t="n">
        <x:v>0</x:v>
      </x:c>
      <x:c r="H213" s="8" t="n">
        <x:v>0</x:v>
      </x:c>
      <x:c r="I213" s="8" t="n">
        <x:v>0</x:v>
      </x:c>
      <x:c r="J213" s="8" t="n">
        <x:v>0</x:v>
      </x:c>
      <x:c r="K213" s="8" t="n">
        <x:v>0</x:v>
      </x:c>
      <x:c r="L213" s="24" t="n">
        <x:f>F213*'Service inputs'!B67*'Service inputs'!C67</x:f>
        <x:v>52</x:v>
      </x:c>
      <x:c r="M213" s="24" t="n">
        <x:f>F213*E213*'Service inputs'!D67</x:f>
        <x:v>0.011907672000000001</x:v>
      </x:c>
      <x:c r="N213" s="24" t="n">
        <x:f>F213*E213*'Service inputs'!E67</x:f>
        <x:v>0.023815344000000002</x:v>
      </x:c>
      <x:c r="O213" s="24" t="n">
        <x:f>F213*E213*'Service inputs'!F67</x:f>
        <x:v>0</x:v>
      </x:c>
      <x:c r="P213" s="24" t="n">
        <x:f>L213+F213*G213*'Service inputs'!$B$17*'Service inputs'!$B$18*'Service inputs'!$B$19+M213*('Service inputs'!$B$20*'Service inputs'!$B$21+'Service inputs'!$B$22)+N213*'Service inputs'!$B$23+F213*(H213*'Service inputs'!$B$28*'Service inputs'!$B$29+I213*'Service inputs'!$B$24*'Service inputs'!$B$25+J213*'Service inputs'!$B$26*'Service inputs'!$B$27+K213*'Service inputs'!$B$30*'Service inputs'!$B$31)</x:f>
        <x:v>55.131717736000006</x:v>
      </x:c>
      <x:c r="Q213" s="24" t="n">
        <x:f>O213/SUM($O$5:$O$320)*SUMIF(Workload!$A$5:$A$40,"Ecology",Workload!$G$5:$G$40)</x:f>
        <x:v>0</x:v>
      </x:c>
      <x:c r="R213" s="25" t="n">
        <x:f>P213/SUMIF(Workload!$A$5:$A$40,"Grounds",Workload!$G$5:$G$40)*Staffing!$J$5+Q213/SUMIF(Workload!$A$5:$A$40,"Ecology",Workload!$G$5:$G$40)*Staffing!$J$7</x:f>
        <x:v>5603.249142137486</x:v>
      </x:c>
      <x:c r="S213" s="8" t="n">
        <x:v>1</x:v>
      </x:c>
      <x:c r="T213" s="22" t="n">
        <x:v>0</x:v>
      </x:c>
      <x:c r="U213" s="8" t="n">
        <x:v>0</x:v>
      </x:c>
      <x:c r="V213" s="8" t="n">
        <x:v>0</x:v>
      </x:c>
      <x:c r="W213" s="8" t="str">
        <x:v>https://parks.portlandciviclab.org/parks/oliver-parklane-community-garden-1464</x:v>
      </x:c>
    </x:row>
    <x:row r="214" ht="23" customHeight="1">
      <x:c r="A214" s="7" t="str">
        <x:v>495</x:v>
      </x:c>
      <x:c r="B214" s="7" t="str">
        <x:v>Oregon Park</x:v>
      </x:c>
      <x:c r="C214" s="7" t="str">
        <x:v>developed-park</x:v>
      </x:c>
      <x:c r="D214" s="7" t="str">
        <x:v>District 3</x:v>
      </x:c>
      <x:c r="E214" s="19" t="n">
        <x:v>3.28797134</x:v>
      </x:c>
      <x:c r="F214" s="7" t="n">
        <x:v>1</x:v>
      </x:c>
      <x:c r="G214" s="7" t="n">
        <x:v>1</x:v>
      </x:c>
      <x:c r="H214" s="7" t="n">
        <x:v>1</x:v>
      </x:c>
      <x:c r="I214" s="7" t="n">
        <x:v>1</x:v>
      </x:c>
      <x:c r="J214" s="7" t="n">
        <x:v>1</x:v>
      </x:c>
      <x:c r="K214" s="7" t="n">
        <x:v>0</x:v>
      </x:c>
      <x:c r="L214" s="26" t="n">
        <x:f>F214*'Service inputs'!B65*'Service inputs'!C65</x:f>
        <x:v>547.5</x:v>
      </x:c>
      <x:c r="M214" s="26" t="n">
        <x:f>F214*E214*'Service inputs'!D65</x:f>
        <x:v>1.808384237</x:v>
      </x:c>
      <x:c r="N214" s="26" t="n">
        <x:f>F214*E214*'Service inputs'!E65</x:f>
        <x:v>0.164398567</x:v>
      </x:c>
      <x:c r="O214" s="26" t="n">
        <x:f>F214*E214*'Service inputs'!F65</x:f>
        <x:v>0.821992835</x:v>
      </x:c>
      <x:c r="P214" s="26" t="n">
        <x:f>L214+F214*G214*'Service inputs'!$B$17*'Service inputs'!$B$18*'Service inputs'!$B$19+M214*('Service inputs'!$B$20*'Service inputs'!$B$21+'Service inputs'!$B$22)+N214*'Service inputs'!$B$23+F214*(H214*'Service inputs'!$B$28*'Service inputs'!$B$29+I214*'Service inputs'!$B$24*'Service inputs'!$B$25+J214*'Service inputs'!$B$26*'Service inputs'!$B$27+K214*'Service inputs'!$B$30*'Service inputs'!$B$31)</x:f>
        <x:v>1092.570665491</x:v>
      </x:c>
      <x:c r="Q214" s="26" t="n">
        <x:f>O214/SUM($O$5:$O$320)*SUMIF(Workload!$A$5:$A$40,"Ecology",Workload!$G$5:$G$40)</x:f>
        <x:v>8.629041376914438</x:v>
      </x:c>
      <x:c r="R214" s="27" t="n">
        <x:f>P214/SUMIF(Workload!$A$5:$A$40,"Grounds",Workload!$G$5:$G$40)*Staffing!$J$5+Q214/SUMIF(Workload!$A$5:$A$40,"Ecology",Workload!$G$5:$G$40)*Staffing!$J$7</x:f>
        <x:v>112040.84418309362</x:v>
      </x:c>
      <x:c r="S214" s="7" t="n">
        <x:v>55</x:v>
      </x:c>
      <x:c r="T214" s="23" t="n">
        <x:v>0.2545454545454545</x:v>
      </x:c>
      <x:c r="U214" s="7" t="n">
        <x:v>6</x:v>
      </x:c>
      <x:c r="V214" s="7" t="n">
        <x:v>0</x:v>
      </x:c>
      <x:c r="W214" s="7" t="str">
        <x:v>https://parks.portlandciviclab.org/parks/oregon-park-495</x:v>
      </x:c>
    </x:row>
    <x:row r="215" ht="23" customHeight="1">
      <x:c r="A215" s="8" t="str">
        <x:v>496</x:v>
      </x:c>
      <x:c r="B215" s="8" t="str">
        <x:v>Overlook House Community Center</x:v>
      </x:c>
      <x:c r="C215" s="8" t="str">
        <x:v>facility-site</x:v>
      </x:c>
      <x:c r="D215" s="8" t="str">
        <x:v>District 2</x:v>
      </x:c>
      <x:c r="E215" s="18" t="n">
        <x:v>1.24669682</x:v>
      </x:c>
      <x:c r="F215" s="8" t="n">
        <x:v>1</x:v>
      </x:c>
      <x:c r="G215" s="8" t="n">
        <x:v>0</x:v>
      </x:c>
      <x:c r="H215" s="8" t="n">
        <x:v>0</x:v>
      </x:c>
      <x:c r="I215" s="8" t="n">
        <x:v>0</x:v>
      </x:c>
      <x:c r="J215" s="8" t="n">
        <x:v>0</x:v>
      </x:c>
      <x:c r="K215" s="8" t="n">
        <x:v>0</x:v>
      </x:c>
      <x:c r="L215" s="24" t="n">
        <x:f>F215*'Service inputs'!B69*'Service inputs'!C69</x:f>
        <x:v>260</x:v>
      </x:c>
      <x:c r="M215" s="24" t="n">
        <x:f>F215*E215*'Service inputs'!D69</x:f>
        <x:v>0.124669682</x:v>
      </x:c>
      <x:c r="N215" s="24" t="n">
        <x:f>F215*E215*'Service inputs'!E69</x:f>
        <x:v>0.124669682</x:v>
      </x:c>
      <x:c r="O215" s="24" t="n">
        <x:f>F215*E215*'Service inputs'!F69</x:f>
        <x:v>0</x:v>
      </x:c>
      <x:c r="P215" s="24" t="n">
        <x:f>L215+F215*G215*'Service inputs'!$B$17*'Service inputs'!$B$18*'Service inputs'!$B$19+M215*('Service inputs'!$B$20*'Service inputs'!$B$21+'Service inputs'!$B$22)+N215*'Service inputs'!$B$23+F215*(H215*'Service inputs'!$B$28*'Service inputs'!$B$29+I215*'Service inputs'!$B$24*'Service inputs'!$B$25+J215*'Service inputs'!$B$26*'Service inputs'!$B$27+K215*'Service inputs'!$B$30*'Service inputs'!$B$31)</x:f>
        <x:v>277.827764526</x:v>
      </x:c>
      <x:c r="Q215" s="24" t="n">
        <x:f>O215/SUM($O$5:$O$320)*SUMIF(Workload!$A$5:$A$40,"Ecology",Workload!$G$5:$G$40)</x:f>
        <x:v>0</x:v>
      </x:c>
      <x:c r="R215" s="25" t="n">
        <x:f>P215/SUMIF(Workload!$A$5:$A$40,"Grounds",Workload!$G$5:$G$40)*Staffing!$J$5+Q215/SUMIF(Workload!$A$5:$A$40,"Ecology",Workload!$G$5:$G$40)*Staffing!$J$7</x:f>
        <x:v>28236.70741943459</x:v>
      </x:c>
      <x:c r="S215" s="8" t="n">
        <x:v>7</x:v>
      </x:c>
      <x:c r="T215" s="22" t="n">
        <x:v>0.14285714285714285</x:v>
      </x:c>
      <x:c r="U215" s="8" t="n">
        <x:v>0</x:v>
      </x:c>
      <x:c r="V215" s="8" t="n">
        <x:v>1</x:v>
      </x:c>
      <x:c r="W215" s="8" t="str">
        <x:v>https://parks.portlandciviclab.org/parks/overlook-house-community-center-496</x:v>
      </x:c>
    </x:row>
    <x:row r="216" ht="23" customHeight="1">
      <x:c r="A216" s="7" t="str">
        <x:v>497</x:v>
      </x:c>
      <x:c r="B216" s="7" t="str">
        <x:v>Overlook Park</x:v>
      </x:c>
      <x:c r="C216" s="7" t="str">
        <x:v>developed-park</x:v>
      </x:c>
      <x:c r="D216" s="7" t="str">
        <x:v>District 2</x:v>
      </x:c>
      <x:c r="E216" s="19" t="n">
        <x:v>11.29768632</x:v>
      </x:c>
      <x:c r="F216" s="7" t="n">
        <x:v>1</x:v>
      </x:c>
      <x:c r="G216" s="7" t="n">
        <x:v>1</x:v>
      </x:c>
      <x:c r="H216" s="7" t="n">
        <x:v>1</x:v>
      </x:c>
      <x:c r="I216" s="7" t="n">
        <x:v>4</x:v>
      </x:c>
      <x:c r="J216" s="7" t="n">
        <x:v>2</x:v>
      </x:c>
      <x:c r="K216" s="7" t="n">
        <x:v>0</x:v>
      </x:c>
      <x:c r="L216" s="26" t="n">
        <x:f>F216*'Service inputs'!B65*'Service inputs'!C65</x:f>
        <x:v>547.5</x:v>
      </x:c>
      <x:c r="M216" s="26" t="n">
        <x:f>F216*E216*'Service inputs'!D65</x:f>
        <x:v>6.213727476000001</x:v>
      </x:c>
      <x:c r="N216" s="26" t="n">
        <x:f>F216*E216*'Service inputs'!E65</x:f>
        <x:v>0.564884316</x:v>
      </x:c>
      <x:c r="O216" s="26" t="n">
        <x:f>F216*E216*'Service inputs'!F65</x:f>
        <x:v>2.82442158</x:v>
      </x:c>
      <x:c r="P216" s="26" t="n">
        <x:f>L216+F216*G216*'Service inputs'!$B$17*'Service inputs'!$B$18*'Service inputs'!$B$19+M216*('Service inputs'!$B$20*'Service inputs'!$B$21+'Service inputs'!$B$22)+N216*'Service inputs'!$B$23+F216*(H216*'Service inputs'!$B$28*'Service inputs'!$B$29+I216*'Service inputs'!$B$24*'Service inputs'!$B$25+J216*'Service inputs'!$B$26*'Service inputs'!$B$27+K216*'Service inputs'!$B$30*'Service inputs'!$B$31)</x:f>
        <x:v>1574.951849868</x:v>
      </x:c>
      <x:c r="Q216" s="26" t="n">
        <x:f>O216/SUM($O$5:$O$320)*SUMIF(Workload!$A$5:$A$40,"Ecology",Workload!$G$5:$G$40)</x:f>
        <x:v>29.649955135764728</x:v>
      </x:c>
      <x:c r="R216" s="27" t="n">
        <x:f>P216/SUMIF(Workload!$A$5:$A$40,"Grounds",Workload!$G$5:$G$40)*Staffing!$J$5+Q216/SUMIF(Workload!$A$5:$A$40,"Ecology",Workload!$G$5:$G$40)*Staffing!$J$7</x:f>
        <x:v>163499.93774511362</x:v>
      </x:c>
      <x:c r="S216" s="7" t="n">
        <x:v>93</x:v>
      </x:c>
      <x:c r="T216" s="23" t="n">
        <x:v>0.2903225806451613</x:v>
      </x:c>
      <x:c r="U216" s="7" t="n">
        <x:v>12</x:v>
      </x:c>
      <x:c r="V216" s="7" t="n">
        <x:v>0</x:v>
      </x:c>
      <x:c r="W216" s="7" t="str">
        <x:v>https://parks.portlandciviclab.org/parks/overlook-park-497</x:v>
      </x:c>
    </x:row>
    <x:row r="217" ht="23" customHeight="1">
      <x:c r="A217" s="8" t="str">
        <x:v>522</x:v>
      </x:c>
      <x:c r="B217" s="8" t="str">
        <x:v>Park Ranger Headquarters</x:v>
      </x:c>
      <x:c r="C217" s="8" t="str">
        <x:v>maintenance-yard</x:v>
      </x:c>
      <x:c r="D217" s="8" t="str">
        <x:v>District 4</x:v>
      </x:c>
      <x:c r="E217" s="18" t="n">
        <x:v>0.0216969</x:v>
      </x:c>
      <x:c r="F217" s="8" t="n">
        <x:v>1</x:v>
      </x:c>
      <x:c r="G217" s="8" t="n">
        <x:v>0</x:v>
      </x:c>
      <x:c r="H217" s="8" t="n">
        <x:v>0</x:v>
      </x:c>
      <x:c r="I217" s="8" t="n">
        <x:v>0</x:v>
      </x:c>
      <x:c r="J217" s="8" t="n">
        <x:v>0</x:v>
      </x:c>
      <x:c r="K217" s="8" t="n">
        <x:v>0</x:v>
      </x:c>
      <x:c r="L217" s="24" t="n">
        <x:f>F217*'Service inputs'!B73*'Service inputs'!C73</x:f>
        <x:v>130</x:v>
      </x:c>
      <x:c r="M217" s="24" t="n">
        <x:f>F217*E217*'Service inputs'!D73</x:f>
        <x:v>0.001084845</x:v>
      </x:c>
      <x:c r="N217" s="24" t="n">
        <x:f>F217*E217*'Service inputs'!E73</x:f>
        <x:v>0.00021696900000000002</x:v>
      </x:c>
      <x:c r="O217" s="24" t="n">
        <x:f>F217*E217*'Service inputs'!F73</x:f>
        <x:v>0</x:v>
      </x:c>
      <x:c r="P217" s="24" t="n">
        <x:f>L217+F217*G217*'Service inputs'!$B$17*'Service inputs'!$B$18*'Service inputs'!$B$19+M217*('Service inputs'!$B$20*'Service inputs'!$B$21+'Service inputs'!$B$22)+N217*'Service inputs'!$B$23+F217*(H217*'Service inputs'!$B$28*'Service inputs'!$B$29+I217*'Service inputs'!$B$24*'Service inputs'!$B$25+J217*'Service inputs'!$B$26*'Service inputs'!$B$27+K217*'Service inputs'!$B$30*'Service inputs'!$B$31)</x:f>
        <x:v>130.050987715</x:v>
      </x:c>
      <x:c r="Q217" s="24" t="n">
        <x:f>O217/SUM($O$5:$O$320)*SUMIF(Workload!$A$5:$A$40,"Ecology",Workload!$G$5:$G$40)</x:f>
        <x:v>0</x:v>
      </x:c>
      <x:c r="R217" s="25" t="n">
        <x:f>P217/SUMIF(Workload!$A$5:$A$40,"Grounds",Workload!$G$5:$G$40)*Staffing!$J$5+Q217/SUMIF(Workload!$A$5:$A$40,"Ecology",Workload!$G$5:$G$40)*Staffing!$J$7</x:f>
        <x:v>13217.58354850557</x:v>
      </x:c>
      <x:c r="S217" s="8" t="n">
        <x:v>0</x:v>
      </x:c>
      <x:c r="T217" s="22" t="n">
        <x:v>0</x:v>
      </x:c>
      <x:c r="U217" s="8" t="n">
        <x:v>0</x:v>
      </x:c>
      <x:c r="V217" s="8" t="n">
        <x:v>0</x:v>
      </x:c>
      <x:c r="W217" s="8" t="str">
        <x:v>https://parks.portlandciviclab.org/parks/park-ranger-headquarters-522</x:v>
      </x:c>
    </x:row>
    <x:row r="218" ht="23" customHeight="1">
      <x:c r="A218" s="7" t="str">
        <x:v>501</x:v>
      </x:c>
      <x:c r="B218" s="7" t="str">
        <x:v>Parklane Park</x:v>
      </x:c>
      <x:c r="C218" s="7" t="str">
        <x:v>developed-park</x:v>
      </x:c>
      <x:c r="D218" s="7" t="str">
        <x:v>District 1</x:v>
      </x:c>
      <x:c r="E218" s="19" t="n">
        <x:v>25.60081026</x:v>
      </x:c>
      <x:c r="F218" s="7" t="n">
        <x:v>1</x:v>
      </x:c>
      <x:c r="G218" s="7" t="n">
        <x:v>3</x:v>
      </x:c>
      <x:c r="H218" s="7" t="n">
        <x:v>1</x:v>
      </x:c>
      <x:c r="I218" s="7" t="n">
        <x:v>2</x:v>
      </x:c>
      <x:c r="J218" s="7" t="n">
        <x:v>4</x:v>
      </x:c>
      <x:c r="K218" s="7" t="n">
        <x:v>1</x:v>
      </x:c>
      <x:c r="L218" s="26" t="n">
        <x:f>F218*'Service inputs'!B65*'Service inputs'!C65</x:f>
        <x:v>547.5</x:v>
      </x:c>
      <x:c r="M218" s="26" t="n">
        <x:f>F218*E218*'Service inputs'!D65</x:f>
        <x:v>14.080445643000001</x:v>
      </x:c>
      <x:c r="N218" s="26" t="n">
        <x:f>F218*E218*'Service inputs'!E65</x:f>
        <x:v>1.280040513</x:v>
      </x:c>
      <x:c r="O218" s="26" t="n">
        <x:f>F218*E218*'Service inputs'!F65</x:f>
        <x:v>6.400202565</x:v>
      </x:c>
      <x:c r="P218" s="26" t="n">
        <x:f>L218+F218*G218*'Service inputs'!$B$17*'Service inputs'!$B$18*'Service inputs'!$B$19+M218*('Service inputs'!$B$20*'Service inputs'!$B$21+'Service inputs'!$B$22)+N218*'Service inputs'!$B$23+F218*(H218*'Service inputs'!$B$28*'Service inputs'!$B$29+I218*'Service inputs'!$B$24*'Service inputs'!$B$25+J218*'Service inputs'!$B$26*'Service inputs'!$B$27+K218*'Service inputs'!$B$30*'Service inputs'!$B$31)</x:f>
        <x:v>2359.2051113489997</x:v>
      </x:c>
      <x:c r="Q218" s="26" t="n">
        <x:f>O218/SUM($O$5:$O$320)*SUMIF(Workload!$A$5:$A$40,"Ecology",Workload!$G$5:$G$40)</x:f>
        <x:v>67.18746247224762</x:v>
      </x:c>
      <x:c r="R218" s="27" t="n">
        <x:f>P218/SUMIF(Workload!$A$5:$A$40,"Grounds",Workload!$G$5:$G$40)*Staffing!$J$5+Q218/SUMIF(Workload!$A$5:$A$40,"Ecology",Workload!$G$5:$G$40)*Staffing!$J$7</x:f>
        <x:v>247550.98529928597</x:v>
      </x:c>
      <x:c r="S218" s="7" t="n">
        <x:v>237</x:v>
      </x:c>
      <x:c r="T218" s="23" t="n">
        <x:v>0.016877637130801686</x:v>
      </x:c>
      <x:c r="U218" s="7" t="n">
        <x:v>0</x:v>
      </x:c>
      <x:c r="V218" s="7" t="n">
        <x:v>0</x:v>
      </x:c>
      <x:c r="W218" s="7" t="str">
        <x:v>https://parks.portlandciviclab.org/parks/parklane-park-501</x:v>
      </x:c>
    </x:row>
    <x:row r="219" ht="23" customHeight="1">
      <x:c r="A219" s="8" t="str">
        <x:v>885</x:v>
      </x:c>
      <x:c r="B219" s="8" t="str">
        <x:v>Patton Community Garden</x:v>
      </x:c>
      <x:c r="C219" s="8" t="str">
        <x:v>community-garden</x:v>
      </x:c>
      <x:c r="D219" s="8" t="str">
        <x:v>District 2</x:v>
      </x:c>
      <x:c r="E219" s="18" t="n">
        <x:v>0.19407117</x:v>
      </x:c>
      <x:c r="F219" s="8" t="n">
        <x:v>1</x:v>
      </x:c>
      <x:c r="G219" s="8" t="n">
        <x:v>0</x:v>
      </x:c>
      <x:c r="H219" s="8" t="n">
        <x:v>0</x:v>
      </x:c>
      <x:c r="I219" s="8" t="n">
        <x:v>0</x:v>
      </x:c>
      <x:c r="J219" s="8" t="n">
        <x:v>0</x:v>
      </x:c>
      <x:c r="K219" s="8" t="n">
        <x:v>0</x:v>
      </x:c>
      <x:c r="L219" s="24" t="n">
        <x:f>F219*'Service inputs'!B67*'Service inputs'!C67</x:f>
        <x:v>52</x:v>
      </x:c>
      <x:c r="M219" s="24" t="n">
        <x:f>F219*E219*'Service inputs'!D67</x:f>
        <x:v>0.0097035585</x:v>
      </x:c>
      <x:c r="N219" s="24" t="n">
        <x:f>F219*E219*'Service inputs'!E67</x:f>
        <x:v>0.019407117</x:v>
      </x:c>
      <x:c r="O219" s="24" t="n">
        <x:f>F219*E219*'Service inputs'!F67</x:f>
        <x:v>0</x:v>
      </x:c>
      <x:c r="P219" s="24" t="n">
        <x:f>L219+F219*G219*'Service inputs'!$B$17*'Service inputs'!$B$18*'Service inputs'!$B$19+M219*('Service inputs'!$B$20*'Service inputs'!$B$21+'Service inputs'!$B$22)+N219*'Service inputs'!$B$23+F219*(H219*'Service inputs'!$B$28*'Service inputs'!$B$29+I219*'Service inputs'!$B$24*'Service inputs'!$B$25+J219*'Service inputs'!$B$26*'Service inputs'!$B$27+K219*'Service inputs'!$B$30*'Service inputs'!$B$31)</x:f>
        <x:v>54.552035885500004</x:v>
      </x:c>
      <x:c r="Q219" s="24" t="n">
        <x:f>O219/SUM($O$5:$O$320)*SUMIF(Workload!$A$5:$A$40,"Ecology",Workload!$G$5:$G$40)</x:f>
        <x:v>0</x:v>
      </x:c>
      <x:c r="R219" s="25" t="n">
        <x:f>P219/SUMIF(Workload!$A$5:$A$40,"Grounds",Workload!$G$5:$G$40)*Staffing!$J$5+Q219/SUMIF(Workload!$A$5:$A$40,"Ecology",Workload!$G$5:$G$40)*Staffing!$J$7</x:f>
        <x:v>5544.333839569182</x:v>
      </x:c>
      <x:c r="S219" s="8" t="n">
        <x:v>7</x:v>
      </x:c>
      <x:c r="T219" s="22" t="n">
        <x:v>0.14285714285714285</x:v>
      </x:c>
      <x:c r="U219" s="8" t="n">
        <x:v>0</x:v>
      </x:c>
      <x:c r="V219" s="8" t="n">
        <x:v>0</x:v>
      </x:c>
      <x:c r="W219" s="8" t="str">
        <x:v>https://parks.portlandciviclab.org/parks/patton-community-garden-885</x:v>
      </x:c>
    </x:row>
    <x:row r="220" ht="23" customHeight="1">
      <x:c r="A220" s="7" t="str">
        <x:v>502</x:v>
      </x:c>
      <x:c r="B220" s="7" t="str">
        <x:v>Patton Square Park</x:v>
      </x:c>
      <x:c r="C220" s="7" t="str">
        <x:v>developed-park</x:v>
      </x:c>
      <x:c r="D220" s="7" t="str">
        <x:v>District 2</x:v>
      </x:c>
      <x:c r="E220" s="19" t="n">
        <x:v>1.25741815</x:v>
      </x:c>
      <x:c r="F220" s="7" t="n">
        <x:v>1</x:v>
      </x:c>
      <x:c r="G220" s="7" t="n">
        <x:v>0</x:v>
      </x:c>
      <x:c r="H220" s="7" t="n">
        <x:v>1</x:v>
      </x:c>
      <x:c r="I220" s="7" t="n">
        <x:v>0</x:v>
      </x:c>
      <x:c r="J220" s="7" t="n">
        <x:v>0</x:v>
      </x:c>
      <x:c r="K220" s="7" t="n">
        <x:v>0</x:v>
      </x:c>
      <x:c r="L220" s="26" t="n">
        <x:f>F220*'Service inputs'!B65*'Service inputs'!C65</x:f>
        <x:v>547.5</x:v>
      </x:c>
      <x:c r="M220" s="26" t="n">
        <x:f>F220*E220*'Service inputs'!D65</x:f>
        <x:v>0.6915799825</x:v>
      </x:c>
      <x:c r="N220" s="26" t="n">
        <x:f>F220*E220*'Service inputs'!E65</x:f>
        <x:v>0.0628709075</x:v>
      </x:c>
      <x:c r="O220" s="26" t="n">
        <x:f>F220*E220*'Service inputs'!F65</x:f>
        <x:v>0.3143545375</x:v>
      </x:c>
      <x:c r="P220" s="26" t="n">
        <x:f>L220+F220*G220*'Service inputs'!$B$17*'Service inputs'!$B$18*'Service inputs'!$B$19+M220*('Service inputs'!$B$20*'Service inputs'!$B$21+'Service inputs'!$B$22)+N220*'Service inputs'!$B$23+F220*(H220*'Service inputs'!$B$28*'Service inputs'!$B$29+I220*'Service inputs'!$B$24*'Service inputs'!$B$25+J220*'Service inputs'!$B$26*'Service inputs'!$B$27+K220*'Service inputs'!$B$30*'Service inputs'!$B$31)</x:f>
        <x:v>609.9508484975</x:v>
      </x:c>
      <x:c r="Q220" s="26" t="n">
        <x:f>O220/SUM($O$5:$O$320)*SUMIF(Workload!$A$5:$A$40,"Ecology",Workload!$G$5:$G$40)</x:f>
        <x:v>3.3000023791062625</x:v>
      </x:c>
      <x:c r="R220" s="27" t="n">
        <x:f>P220/SUMIF(Workload!$A$5:$A$40,"Grounds",Workload!$G$5:$G$40)*Staffing!$J$5+Q220/SUMIF(Workload!$A$5:$A$40,"Ecology",Workload!$G$5:$G$40)*Staffing!$J$7</x:f>
        <x:v>62373.57985077757</x:v>
      </x:c>
      <x:c r="S220" s="7" t="n">
        <x:v>31</x:v>
      </x:c>
      <x:c r="T220" s="23" t="n">
        <x:v>0.06451612903225806</x:v>
      </x:c>
      <x:c r="U220" s="7" t="n">
        <x:v>0</x:v>
      </x:c>
      <x:c r="V220" s="7" t="n">
        <x:v>1</x:v>
      </x:c>
      <x:c r="W220" s="7" t="str">
        <x:v>https://parks.portlandciviclab.org/parks/patton-square-park-502</x:v>
      </x:c>
    </x:row>
    <x:row r="221" ht="23" customHeight="1">
      <x:c r="A221" s="8" t="str">
        <x:v>1337</x:v>
      </x:c>
      <x:c r="B221" s="8" t="str">
        <x:v>Peace Community Garden</x:v>
      </x:c>
      <x:c r="C221" s="8" t="str">
        <x:v>community-garden</x:v>
      </x:c>
      <x:c r="D221" s="8" t="str">
        <x:v>District 1</x:v>
      </x:c>
      <x:c r="E221" s="18" t="n">
        <x:v>0.26128687</x:v>
      </x:c>
      <x:c r="F221" s="8" t="n">
        <x:v>1</x:v>
      </x:c>
      <x:c r="G221" s="8" t="n">
        <x:v>0</x:v>
      </x:c>
      <x:c r="H221" s="8" t="n">
        <x:v>0</x:v>
      </x:c>
      <x:c r="I221" s="8" t="n">
        <x:v>0</x:v>
      </x:c>
      <x:c r="J221" s="8" t="n">
        <x:v>0</x:v>
      </x:c>
      <x:c r="K221" s="8" t="n">
        <x:v>0</x:v>
      </x:c>
      <x:c r="L221" s="24" t="n">
        <x:f>F221*'Service inputs'!B67*'Service inputs'!C67</x:f>
        <x:v>52</x:v>
      </x:c>
      <x:c r="M221" s="24" t="n">
        <x:f>F221*E221*'Service inputs'!D67</x:f>
        <x:v>0.0130643435</x:v>
      </x:c>
      <x:c r="N221" s="24" t="n">
        <x:f>F221*E221*'Service inputs'!E67</x:f>
        <x:v>0.026128687</x:v>
      </x:c>
      <x:c r="O221" s="24" t="n">
        <x:f>F221*E221*'Service inputs'!F67</x:f>
        <x:v>0</x:v>
      </x:c>
      <x:c r="P221" s="24" t="n">
        <x:f>L221+F221*G221*'Service inputs'!$B$17*'Service inputs'!$B$18*'Service inputs'!$B$19+M221*('Service inputs'!$B$20*'Service inputs'!$B$21+'Service inputs'!$B$22)+N221*'Service inputs'!$B$23+F221*(H221*'Service inputs'!$B$28*'Service inputs'!$B$29+I221*'Service inputs'!$B$24*'Service inputs'!$B$25+J221*'Service inputs'!$B$26*'Service inputs'!$B$27+K221*'Service inputs'!$B$30*'Service inputs'!$B$31)</x:f>
        <x:v>55.4359223405</x:v>
      </x:c>
      <x:c r="Q221" s="24" t="n">
        <x:f>O221/SUM($O$5:$O$320)*SUMIF(Workload!$A$5:$A$40,"Ecology",Workload!$G$5:$G$40)</x:f>
        <x:v>0</x:v>
      </x:c>
      <x:c r="R221" s="25" t="n">
        <x:f>P221/SUMIF(Workload!$A$5:$A$40,"Grounds",Workload!$G$5:$G$40)*Staffing!$J$5+Q221/SUMIF(Workload!$A$5:$A$40,"Ecology",Workload!$G$5:$G$40)*Staffing!$J$7</x:f>
        <x:v>5634.166629551194</x:v>
      </x:c>
      <x:c r="S221" s="8" t="n">
        <x:v>1</x:v>
      </x:c>
      <x:c r="T221" s="22" t="n">
        <x:v>0</x:v>
      </x:c>
      <x:c r="U221" s="8" t="n">
        <x:v>0</x:v>
      </x:c>
      <x:c r="V221" s="8" t="n">
        <x:v>0</x:v>
      </x:c>
      <x:c r="W221" s="8" t="str">
        <x:v>https://parks.portlandciviclab.org/parks/peace-community-garden-1337</x:v>
      </x:c>
    </x:row>
    <x:row r="222" ht="23" customHeight="1">
      <x:c r="A222" s="7" t="str">
        <x:v>503</x:v>
      </x:c>
      <x:c r="B222" s="7" t="str">
        <x:v>Pendleton Park</x:v>
      </x:c>
      <x:c r="C222" s="7" t="str">
        <x:v>developed-park</x:v>
      </x:c>
      <x:c r="D222" s="7" t="str">
        <x:v>District 4</x:v>
      </x:c>
      <x:c r="E222" s="19" t="n">
        <x:v>5.20834686</x:v>
      </x:c>
      <x:c r="F222" s="7" t="n">
        <x:v>1</x:v>
      </x:c>
      <x:c r="G222" s="7" t="n">
        <x:v>1</x:v>
      </x:c>
      <x:c r="H222" s="7" t="n">
        <x:v>1</x:v>
      </x:c>
      <x:c r="I222" s="7" t="n">
        <x:v>2</x:v>
      </x:c>
      <x:c r="J222" s="7" t="n">
        <x:v>3</x:v>
      </x:c>
      <x:c r="K222" s="7" t="n">
        <x:v>0</x:v>
      </x:c>
      <x:c r="L222" s="26" t="n">
        <x:f>F222*'Service inputs'!B65*'Service inputs'!C65</x:f>
        <x:v>547.5</x:v>
      </x:c>
      <x:c r="M222" s="26" t="n">
        <x:f>F222*E222*'Service inputs'!D65</x:f>
        <x:v>2.864590773</x:v>
      </x:c>
      <x:c r="N222" s="26" t="n">
        <x:f>F222*E222*'Service inputs'!E65</x:f>
        <x:v>0.260417343</x:v>
      </x:c>
      <x:c r="O222" s="26" t="n">
        <x:f>F222*E222*'Service inputs'!F65</x:f>
        <x:v>1.302086715</x:v>
      </x:c>
      <x:c r="P222" s="26" t="n">
        <x:f>L222+F222*G222*'Service inputs'!$B$17*'Service inputs'!$B$18*'Service inputs'!$B$19+M222*('Service inputs'!$B$20*'Service inputs'!$B$21+'Service inputs'!$B$22)+N222*'Service inputs'!$B$23+F222*(H222*'Service inputs'!$B$28*'Service inputs'!$B$29+I222*'Service inputs'!$B$24*'Service inputs'!$B$25+J222*'Service inputs'!$B$26*'Service inputs'!$B$27+K222*'Service inputs'!$B$30*'Service inputs'!$B$31)</x:f>
        <x:v>1269.385668939</x:v>
      </x:c>
      <x:c r="Q222" s="26" t="n">
        <x:f>O222/SUM($O$5:$O$320)*SUMIF(Workload!$A$5:$A$40,"Ecology",Workload!$G$5:$G$40)</x:f>
        <x:v>13.668927102102536</x:v>
      </x:c>
      <x:c r="R222" s="27" t="n">
        <x:f>P222/SUMIF(Workload!$A$5:$A$40,"Grounds",Workload!$G$5:$G$40)*Staffing!$J$5+Q222/SUMIF(Workload!$A$5:$A$40,"Ecology",Workload!$G$5:$G$40)*Staffing!$J$7</x:f>
        <x:v>130594.52083816331</x:v>
      </x:c>
      <x:c r="S222" s="7" t="n">
        <x:v>36</x:v>
      </x:c>
      <x:c r="T222" s="23" t="n">
        <x:v>0.1388888888888889</x:v>
      </x:c>
      <x:c r="U222" s="7" t="n">
        <x:v>1</x:v>
      </x:c>
      <x:c r="V222" s="7" t="n">
        <x:v>0</x:v>
      </x:c>
      <x:c r="W222" s="7" t="str">
        <x:v>https://parks.portlandciviclab.org/parks/pendleton-park-503</x:v>
      </x:c>
    </x:row>
    <x:row r="223" ht="23" customHeight="1">
      <x:c r="A223" s="8" t="str">
        <x:v>506</x:v>
      </x:c>
      <x:c r="B223" s="8" t="str">
        <x:v>Peninsula Crossing Trail</x:v>
      </x:c>
      <x:c r="C223" s="8" t="str">
        <x:v>corridor</x:v>
      </x:c>
      <x:c r="D223" s="8" t="str">
        <x:v>District 2</x:v>
      </x:c>
      <x:c r="E223" s="18" t="n">
        <x:v>9.07299481</x:v>
      </x:c>
      <x:c r="F223" s="8" t="n">
        <x:v>1</x:v>
      </x:c>
      <x:c r="G223" s="8" t="n">
        <x:v>0</x:v>
      </x:c>
      <x:c r="H223" s="8" t="n">
        <x:v>0</x:v>
      </x:c>
      <x:c r="I223" s="8" t="n">
        <x:v>0</x:v>
      </x:c>
      <x:c r="J223" s="8" t="n">
        <x:v>0</x:v>
      </x:c>
      <x:c r="K223" s="8" t="n">
        <x:v>0</x:v>
      </x:c>
      <x:c r="L223" s="24" t="n">
        <x:f>F223*'Service inputs'!B70*'Service inputs'!C70</x:f>
        <x:v>104</x:v>
      </x:c>
      <x:c r="M223" s="24" t="n">
        <x:f>F223*E223*'Service inputs'!D70</x:f>
        <x:v>0.27218984430000004</x:v>
      </x:c>
      <x:c r="N223" s="24" t="n">
        <x:f>F223*E223*'Service inputs'!E70</x:f>
        <x:v>0.09072994810000001</x:v>
      </x:c>
      <x:c r="O223" s="24" t="n">
        <x:f>F223*E223*'Service inputs'!F70</x:f>
        <x:v>7.7120455885000005</x:v>
      </x:c>
      <x:c r="P223" s="24" t="n">
        <x:f>L223+F223*G223*'Service inputs'!$B$17*'Service inputs'!$B$18*'Service inputs'!$B$19+M223*('Service inputs'!$B$20*'Service inputs'!$B$21+'Service inputs'!$B$22)+N223*'Service inputs'!$B$23+F223*(H223*'Service inputs'!$B$28*'Service inputs'!$B$29+I223*'Service inputs'!$B$24*'Service inputs'!$B$25+J223*'Service inputs'!$B$26*'Service inputs'!$B$27+K223*'Service inputs'!$B$30*'Service inputs'!$B$31)</x:f>
        <x:v>121.14796019090001</x:v>
      </x:c>
      <x:c r="Q223" s="24" t="n">
        <x:f>O223/SUM($O$5:$O$320)*SUMIF(Workload!$A$5:$A$40,"Ecology",Workload!$G$5:$G$40)</x:f>
        <x:v>80.95880845946422</x:v>
      </x:c>
      <x:c r="R223" s="25" t="n">
        <x:f>P223/SUMIF(Workload!$A$5:$A$40,"Grounds",Workload!$G$5:$G$40)*Staffing!$J$5+Q223/SUMIF(Workload!$A$5:$A$40,"Ecology",Workload!$G$5:$G$40)*Staffing!$J$7</x:f>
        <x:v>21682.415836239365</x:v>
      </x:c>
      <x:c r="S223" s="8" t="n">
        <x:v>0</x:v>
      </x:c>
      <x:c r="T223" s="22" t="n">
        <x:v>0</x:v>
      </x:c>
      <x:c r="U223" s="8" t="n">
        <x:v>0</x:v>
      </x:c>
      <x:c r="V223" s="8" t="n">
        <x:v>0</x:v>
      </x:c>
      <x:c r="W223" s="8" t="str">
        <x:v>https://parks.portlandciviclab.org/parks/peninsula-crossing-trail-506</x:v>
      </x:c>
    </x:row>
    <x:row r="224" ht="23" customHeight="1">
      <x:c r="A224" s="7" t="str">
        <x:v>507</x:v>
      </x:c>
      <x:c r="B224" s="7" t="str">
        <x:v>Peninsula Park</x:v>
      </x:c>
      <x:c r="C224" s="7" t="str">
        <x:v>developed-park</x:v>
      </x:c>
      <x:c r="D224" s="7" t="str">
        <x:v>District 2</x:v>
      </x:c>
      <x:c r="E224" s="19" t="n">
        <x:v>16.33648881</x:v>
      </x:c>
      <x:c r="F224" s="7" t="n">
        <x:v>1</x:v>
      </x:c>
      <x:c r="G224" s="7" t="n">
        <x:v>2</x:v>
      </x:c>
      <x:c r="H224" s="7" t="n">
        <x:v>1</x:v>
      </x:c>
      <x:c r="I224" s="7" t="n">
        <x:v>3</x:v>
      </x:c>
      <x:c r="J224" s="7" t="n">
        <x:v>5</x:v>
      </x:c>
      <x:c r="K224" s="7" t="n">
        <x:v>1</x:v>
      </x:c>
      <x:c r="L224" s="26" t="n">
        <x:f>F224*'Service inputs'!B65*'Service inputs'!C65</x:f>
        <x:v>547.5</x:v>
      </x:c>
      <x:c r="M224" s="26" t="n">
        <x:f>F224*E224*'Service inputs'!D65</x:f>
        <x:v>8.9850688455</x:v>
      </x:c>
      <x:c r="N224" s="26" t="n">
        <x:f>F224*E224*'Service inputs'!E65</x:f>
        <x:v>0.8168244405</x:v>
      </x:c>
      <x:c r="O224" s="26" t="n">
        <x:f>F224*E224*'Service inputs'!F65</x:f>
        <x:v>4.0841222025</x:v>
      </x:c>
      <x:c r="P224" s="26" t="n">
        <x:f>L224+F224*G224*'Service inputs'!$B$17*'Service inputs'!$B$18*'Service inputs'!$B$19+M224*('Service inputs'!$B$20*'Service inputs'!$B$21+'Service inputs'!$B$22)+N224*'Service inputs'!$B$23+F224*(H224*'Service inputs'!$B$28*'Service inputs'!$B$29+I224*'Service inputs'!$B$24*'Service inputs'!$B$25+J224*'Service inputs'!$B$26*'Service inputs'!$B$27+K224*'Service inputs'!$B$30*'Service inputs'!$B$31)</x:f>
        <x:v>1987.6755163065</x:v>
      </x:c>
      <x:c r="Q224" s="26" t="n">
        <x:f>O224/SUM($O$5:$O$320)*SUMIF(Workload!$A$5:$A$40,"Ecology",Workload!$G$5:$G$40)</x:f>
        <x:v>42.873925383726046</x:v>
      </x:c>
      <x:c r="R224" s="27" t="n">
        <x:f>P224/SUMIF(Workload!$A$5:$A$40,"Grounds",Workload!$G$5:$G$40)*Staffing!$J$5+Q224/SUMIF(Workload!$A$5:$A$40,"Ecology",Workload!$G$5:$G$40)*Staffing!$J$7</x:f>
        <x:v>206977.09811937177</x:v>
      </x:c>
      <x:c r="S224" s="7" t="n">
        <x:v>211</x:v>
      </x:c>
      <x:c r="T224" s="23" t="n">
        <x:v>0.16587677725118483</x:v>
      </x:c>
      <x:c r="U224" s="7" t="n">
        <x:v>7</x:v>
      </x:c>
      <x:c r="V224" s="7" t="n">
        <x:v>1</x:v>
      </x:c>
      <x:c r="W224" s="7" t="str">
        <x:v>https://parks.portlandciviclab.org/parks/peninsula-park-507</x:v>
      </x:c>
    </x:row>
    <x:row r="225" ht="23" customHeight="1">
      <x:c r="A225" s="8" t="str">
        <x:v>510</x:v>
      </x:c>
      <x:c r="B225" s="8" t="str">
        <x:v>Peter Kerr Property</x:v>
      </x:c>
      <x:c r="C225" s="8" t="str">
        <x:v>natural-area</x:v>
      </x:c>
      <x:c r="D225" s="8" t="str">
        <x:v>Unknown</x:v>
      </x:c>
      <x:c r="E225" s="18" t="n">
        <x:v>3.1143826</x:v>
      </x:c>
      <x:c r="F225" s="8" t="n">
        <x:v>1</x:v>
      </x:c>
      <x:c r="G225" s="8" t="n">
        <x:v>0</x:v>
      </x:c>
      <x:c r="H225" s="8" t="n">
        <x:v>0</x:v>
      </x:c>
      <x:c r="I225" s="8" t="n">
        <x:v>0</x:v>
      </x:c>
      <x:c r="J225" s="8" t="n">
        <x:v>0</x:v>
      </x:c>
      <x:c r="K225" s="8" t="n">
        <x:v>0</x:v>
      </x:c>
      <x:c r="L225" s="24" t="n">
        <x:f>F225*'Service inputs'!B66*'Service inputs'!C66</x:f>
        <x:v>78</x:v>
      </x:c>
      <x:c r="M225" s="24" t="n">
        <x:f>F225*E225*'Service inputs'!D66</x:f>
        <x:v>0.015571913</x:v>
      </x:c>
      <x:c r="N225" s="24" t="n">
        <x:f>F225*E225*'Service inputs'!E66</x:f>
        <x:v>0</x:v>
      </x:c>
      <x:c r="O225" s="24" t="n">
        <x:f>F225*E225*'Service inputs'!F66</x:f>
        <x:v>3.083238774</x:v>
      </x:c>
      <x:c r="P225" s="24" t="n">
        <x:f>L225+F225*G225*'Service inputs'!$B$17*'Service inputs'!$B$18*'Service inputs'!$B$19+M225*('Service inputs'!$B$20*'Service inputs'!$B$21+'Service inputs'!$B$22)+N225*'Service inputs'!$B$23+F225*(H225*'Service inputs'!$B$28*'Service inputs'!$B$29+I225*'Service inputs'!$B$24*'Service inputs'!$B$25+J225*'Service inputs'!$B$26*'Service inputs'!$B$27+K225*'Service inputs'!$B$30*'Service inputs'!$B$31)</x:f>
        <x:v>78.358153999</x:v>
      </x:c>
      <x:c r="Q225" s="24" t="n">
        <x:f>O225/SUM($O$5:$O$320)*SUMIF(Workload!$A$5:$A$40,"Ecology",Workload!$G$5:$G$40)</x:f>
        <x:v>32.36694265802566</x:v>
      </x:c>
      <x:c r="R225" s="25" t="n">
        <x:f>P225/SUMIF(Workload!$A$5:$A$40,"Grounds",Workload!$G$5:$G$40)*Staffing!$J$5+Q225/SUMIF(Workload!$A$5:$A$40,"Ecology",Workload!$G$5:$G$40)*Staffing!$J$7</x:f>
        <x:v>11709.79502933489</x:v>
      </x:c>
      <x:c r="S225" s="8" t="n">
        <x:v>0</x:v>
      </x:c>
      <x:c r="T225" s="22" t="n">
        <x:v>0</x:v>
      </x:c>
      <x:c r="U225" s="8" t="n">
        <x:v>0</x:v>
      </x:c>
      <x:c r="V225" s="8" t="n">
        <x:v>0</x:v>
      </x:c>
      <x:c r="W225" s="8" t="str">
        <x:v>https://parks.portlandciviclab.org/parks/peter-kerr-property-510</x:v>
      </x:c>
    </x:row>
    <x:row r="226" ht="23" customHeight="1">
      <x:c r="A226" s="7" t="str">
        <x:v>511</x:v>
      </x:c>
      <x:c r="B226" s="7" t="str">
        <x:v>Pettygrove Park</x:v>
      </x:c>
      <x:c r="C226" s="7" t="str">
        <x:v>developed-park</x:v>
      </x:c>
      <x:c r="D226" s="7" t="str">
        <x:v>District 4</x:v>
      </x:c>
      <x:c r="E226" s="19" t="n">
        <x:v>1.17302451</x:v>
      </x:c>
      <x:c r="F226" s="7" t="n">
        <x:v>1</x:v>
      </x:c>
      <x:c r="G226" s="7" t="n">
        <x:v>0</x:v>
      </x:c>
      <x:c r="H226" s="7" t="n">
        <x:v>0</x:v>
      </x:c>
      <x:c r="I226" s="7" t="n">
        <x:v>0</x:v>
      </x:c>
      <x:c r="J226" s="7" t="n">
        <x:v>0</x:v>
      </x:c>
      <x:c r="K226" s="7" t="n">
        <x:v>0</x:v>
      </x:c>
      <x:c r="L226" s="26" t="n">
        <x:f>F226*'Service inputs'!B65*'Service inputs'!C65</x:f>
        <x:v>547.5</x:v>
      </x:c>
      <x:c r="M226" s="26" t="n">
        <x:f>F226*E226*'Service inputs'!D65</x:f>
        <x:v>0.6451634805</x:v>
      </x:c>
      <x:c r="N226" s="26" t="n">
        <x:f>F226*E226*'Service inputs'!E65</x:f>
        <x:v>0.05865122550000001</x:v>
      </x:c>
      <x:c r="O226" s="26" t="n">
        <x:f>F226*E226*'Service inputs'!F65</x:f>
        <x:v>0.2932561275</x:v>
      </x:c>
      <x:c r="P226" s="26" t="n">
        <x:f>L226+F226*G226*'Service inputs'!$B$17*'Service inputs'!$B$18*'Service inputs'!$B$19+M226*('Service inputs'!$B$20*'Service inputs'!$B$21+'Service inputs'!$B$22)+N226*'Service inputs'!$B$23+F226*(H226*'Service inputs'!$B$28*'Service inputs'!$B$29+I226*'Service inputs'!$B$24*'Service inputs'!$B$25+J226*'Service inputs'!$B$26*'Service inputs'!$B$27+K226*'Service inputs'!$B$30*'Service inputs'!$B$31)</x:f>
        <x:v>569.3769071115</x:v>
      </x:c>
      <x:c r="Q226" s="26" t="n">
        <x:f>O226/SUM($O$5:$O$320)*SUMIF(Workload!$A$5:$A$40,"Ecology",Workload!$G$5:$G$40)</x:f>
        <x:v>3.0785174158254027</x:v>
      </x:c>
      <x:c r="R226" s="27" t="n">
        <x:f>P226/SUMIF(Workload!$A$5:$A$40,"Grounds",Workload!$G$5:$G$40)*Staffing!$J$5+Q226/SUMIF(Workload!$A$5:$A$40,"Ecology",Workload!$G$5:$G$40)*Staffing!$J$7</x:f>
        <x:v>58224.26034927968</x:v>
      </x:c>
      <x:c r="S226" s="7" t="n">
        <x:v>46</x:v>
      </x:c>
      <x:c r="T226" s="23" t="n">
        <x:v>0.13043478260869565</x:v>
      </x:c>
      <x:c r="U226" s="7" t="n">
        <x:v>4</x:v>
      </x:c>
      <x:c r="V226" s="7" t="n">
        <x:v>1</x:v>
      </x:c>
      <x:c r="W226" s="7" t="str">
        <x:v>https://parks.portlandciviclab.org/parks/pettygrove-park-511</x:v>
      </x:c>
    </x:row>
    <x:row r="227" ht="23" customHeight="1">
      <x:c r="A227" s="8" t="str">
        <x:v>512</x:v>
      </x:c>
      <x:c r="B227" s="8" t="str">
        <x:v>Piccolo Park</x:v>
      </x:c>
      <x:c r="C227" s="8" t="str">
        <x:v>developed-park</x:v>
      </x:c>
      <x:c r="D227" s="8" t="str">
        <x:v>District 3</x:v>
      </x:c>
      <x:c r="E227" s="18" t="n">
        <x:v>0.57399635</x:v>
      </x:c>
      <x:c r="F227" s="8" t="n">
        <x:v>1</x:v>
      </x:c>
      <x:c r="G227" s="8" t="n">
        <x:v>0</x:v>
      </x:c>
      <x:c r="H227" s="8" t="n">
        <x:v>1</x:v>
      </x:c>
      <x:c r="I227" s="8" t="n">
        <x:v>0</x:v>
      </x:c>
      <x:c r="J227" s="8" t="n">
        <x:v>0</x:v>
      </x:c>
      <x:c r="K227" s="8" t="n">
        <x:v>0</x:v>
      </x:c>
      <x:c r="L227" s="24" t="n">
        <x:f>F227*'Service inputs'!B65*'Service inputs'!C65</x:f>
        <x:v>547.5</x:v>
      </x:c>
      <x:c r="M227" s="24" t="n">
        <x:f>F227*E227*'Service inputs'!D65</x:f>
        <x:v>0.3156979925</x:v>
      </x:c>
      <x:c r="N227" s="24" t="n">
        <x:f>F227*E227*'Service inputs'!E65</x:f>
        <x:v>0.028699817500000002</x:v>
      </x:c>
      <x:c r="O227" s="24" t="n">
        <x:f>F227*E227*'Service inputs'!F65</x:f>
        <x:v>0.1434990875</x:v>
      </x:c>
      <x:c r="P227" s="24" t="n">
        <x:f>L227+F227*G227*'Service inputs'!$B$17*'Service inputs'!$B$18*'Service inputs'!$B$19+M227*('Service inputs'!$B$20*'Service inputs'!$B$21+'Service inputs'!$B$22)+N227*'Service inputs'!$B$23+F227*(H227*'Service inputs'!$B$28*'Service inputs'!$B$29+I227*'Service inputs'!$B$24*'Service inputs'!$B$25+J227*'Service inputs'!$B$26*'Service inputs'!$B$27+K227*'Service inputs'!$B$30*'Service inputs'!$B$31)</x:f>
        <x:v>597.2050319274999</x:v>
      </x:c>
      <x:c r="Q227" s="24" t="n">
        <x:f>O227/SUM($O$5:$O$320)*SUMIF(Workload!$A$5:$A$40,"Ecology",Workload!$G$5:$G$40)</x:f>
        <x:v>1.50641162655264</x:v>
      </x:c>
      <x:c r="R227" s="25" t="n">
        <x:f>P227/SUMIF(Workload!$A$5:$A$40,"Grounds",Workload!$G$5:$G$40)*Staffing!$J$5+Q227/SUMIF(Workload!$A$5:$A$40,"Ecology",Workload!$G$5:$G$40)*Staffing!$J$7</x:f>
        <x:v>60870.59403416072</x:v>
      </x:c>
      <x:c r="S227" s="8" t="n">
        <x:v>17</x:v>
      </x:c>
      <x:c r="T227" s="22" t="n">
        <x:v>0.23529411764705882</x:v>
      </x:c>
      <x:c r="U227" s="8" t="n">
        <x:v>2</x:v>
      </x:c>
      <x:c r="V227" s="8" t="n">
        <x:v>0</x:v>
      </x:c>
      <x:c r="W227" s="8" t="str">
        <x:v>https://parks.portlandciviclab.org/parks/piccolo-park-512</x:v>
      </x:c>
    </x:row>
    <x:row r="228" ht="23" customHeight="1">
      <x:c r="A228" s="7" t="str">
        <x:v>1236</x:v>
      </x:c>
      <x:c r="B228" s="7" t="str">
        <x:v>Pier Community Garden</x:v>
      </x:c>
      <x:c r="C228" s="7" t="str">
        <x:v>community-garden</x:v>
      </x:c>
      <x:c r="D228" s="7" t="str">
        <x:v>District 2</x:v>
      </x:c>
      <x:c r="E228" s="19" t="n">
        <x:v>0.97955393</x:v>
      </x:c>
      <x:c r="F228" s="7" t="n">
        <x:v>1</x:v>
      </x:c>
      <x:c r="G228" s="7" t="n">
        <x:v>0</x:v>
      </x:c>
      <x:c r="H228" s="7" t="n">
        <x:v>0</x:v>
      </x:c>
      <x:c r="I228" s="7" t="n">
        <x:v>0</x:v>
      </x:c>
      <x:c r="J228" s="7" t="n">
        <x:v>0</x:v>
      </x:c>
      <x:c r="K228" s="7" t="n">
        <x:v>0</x:v>
      </x:c>
      <x:c r="L228" s="26" t="n">
        <x:f>F228*'Service inputs'!B67*'Service inputs'!C67</x:f>
        <x:v>52</x:v>
      </x:c>
      <x:c r="M228" s="26" t="n">
        <x:f>F228*E228*'Service inputs'!D67</x:f>
        <x:v>0.0489776965</x:v>
      </x:c>
      <x:c r="N228" s="26" t="n">
        <x:f>F228*E228*'Service inputs'!E67</x:f>
        <x:v>0.097955393</x:v>
      </x:c>
      <x:c r="O228" s="26" t="n">
        <x:f>F228*E228*'Service inputs'!F67</x:f>
        <x:v>0</x:v>
      </x:c>
      <x:c r="P228" s="26" t="n">
        <x:f>L228+F228*G228*'Service inputs'!$B$17*'Service inputs'!$B$18*'Service inputs'!$B$19+M228*('Service inputs'!$B$20*'Service inputs'!$B$21+'Service inputs'!$B$22)+N228*'Service inputs'!$B$23+F228*(H228*'Service inputs'!$B$28*'Service inputs'!$B$29+I228*'Service inputs'!$B$24*'Service inputs'!$B$25+J228*'Service inputs'!$B$26*'Service inputs'!$B$27+K228*'Service inputs'!$B$30*'Service inputs'!$B$31)</x:f>
        <x:v>64.8811341795</x:v>
      </x:c>
      <x:c r="Q228" s="26" t="n">
        <x:f>O228/SUM($O$5:$O$320)*SUMIF(Workload!$A$5:$A$40,"Ecology",Workload!$G$5:$G$40)</x:f>
        <x:v>0</x:v>
      </x:c>
      <x:c r="R228" s="27" t="n">
        <x:f>P228/SUMIF(Workload!$A$5:$A$40,"Grounds",Workload!$G$5:$G$40)*Staffing!$J$5+Q228/SUMIF(Workload!$A$5:$A$40,"Ecology",Workload!$G$5:$G$40)*Staffing!$J$7</x:f>
        <x:v>6594.119943315354</x:v>
      </x:c>
      <x:c r="S228" s="7" t="n">
        <x:v>4</x:v>
      </x:c>
      <x:c r="T228" s="23" t="n">
        <x:v>0.25</x:v>
      </x:c>
      <x:c r="U228" s="7" t="n">
        <x:v>0</x:v>
      </x:c>
      <x:c r="V228" s="7" t="n">
        <x:v>0</x:v>
      </x:c>
      <x:c r="W228" s="7" t="str">
        <x:v>https://parks.portlandciviclab.org/parks/pier-community-garden-1236</x:v>
      </x:c>
    </x:row>
    <x:row r="229" ht="23" customHeight="1">
      <x:c r="A229" s="8" t="str">
        <x:v>513</x:v>
      </x:c>
      <x:c r="B229" s="8" t="str">
        <x:v>Pier Park</x:v>
      </x:c>
      <x:c r="C229" s="8" t="str">
        <x:v>developed-park</x:v>
      </x:c>
      <x:c r="D229" s="8" t="str">
        <x:v>District 2</x:v>
      </x:c>
      <x:c r="E229" s="18" t="n">
        <x:v>84.9982279</x:v>
      </x:c>
      <x:c r="F229" s="8" t="n">
        <x:v>1</x:v>
      </x:c>
      <x:c r="G229" s="8" t="n">
        <x:v>3</x:v>
      </x:c>
      <x:c r="H229" s="8" t="n">
        <x:v>1</x:v>
      </x:c>
      <x:c r="I229" s="8" t="n">
        <x:v>7</x:v>
      </x:c>
      <x:c r="J229" s="8" t="n">
        <x:v>7</x:v>
      </x:c>
      <x:c r="K229" s="8" t="n">
        <x:v>1</x:v>
      </x:c>
      <x:c r="L229" s="24" t="n">
        <x:f>F229*'Service inputs'!B65*'Service inputs'!C65</x:f>
        <x:v>547.5</x:v>
      </x:c>
      <x:c r="M229" s="24" t="n">
        <x:f>F229*E229*'Service inputs'!D65</x:f>
        <x:v>46.74902534500001</x:v>
      </x:c>
      <x:c r="N229" s="24" t="n">
        <x:f>F229*E229*'Service inputs'!E65</x:f>
        <x:v>4.249911395000001</x:v>
      </x:c>
      <x:c r="O229" s="24" t="n">
        <x:f>F229*E229*'Service inputs'!F65</x:f>
        <x:v>21.249556975</x:v>
      </x:c>
      <x:c r="P229" s="24" t="n">
        <x:f>L229+F229*G229*'Service inputs'!$B$17*'Service inputs'!$B$18*'Service inputs'!$B$19+M229*('Service inputs'!$B$20*'Service inputs'!$B$21+'Service inputs'!$B$22)+N229*'Service inputs'!$B$23+F229*(H229*'Service inputs'!$B$28*'Service inputs'!$B$29+I229*'Service inputs'!$B$24*'Service inputs'!$B$25+J229*'Service inputs'!$B$26*'Service inputs'!$B$27+K229*'Service inputs'!$B$30*'Service inputs'!$B$31)</x:f>
        <x:v>4045.966950335</x:v>
      </x:c>
      <x:c r="Q229" s="24" t="n">
        <x:f>O229/SUM($O$5:$O$320)*SUMIF(Workload!$A$5:$A$40,"Ecology",Workload!$G$5:$G$40)</x:f>
        <x:v>223.07166020294548</x:v>
      </x:c>
      <x:c r="R229" s="25" t="n">
        <x:f>P229/SUMIF(Workload!$A$5:$A$40,"Grounds",Workload!$G$5:$G$40)*Staffing!$J$5+Q229/SUMIF(Workload!$A$5:$A$40,"Ecology",Workload!$G$5:$G$40)*Staffing!$J$7</x:f>
        <x:v>437024.1889226901</x:v>
      </x:c>
      <x:c r="S229" s="8" t="n">
        <x:v>253</x:v>
      </x:c>
      <x:c r="T229" s="22" t="n">
        <x:v>0.17786561264822134</x:v>
      </x:c>
      <x:c r="U229" s="8" t="n">
        <x:v>27</x:v>
      </x:c>
      <x:c r="V229" s="8" t="n">
        <x:v>1</x:v>
      </x:c>
      <x:c r="W229" s="8" t="str">
        <x:v>https://parks.portlandciviclab.org/parks/pier-park-513</x:v>
      </x:c>
    </x:row>
    <x:row r="230" ht="23" customHeight="1">
      <x:c r="A230" s="7" t="str">
        <x:v>515</x:v>
      </x:c>
      <x:c r="B230" s="7" t="str">
        <x:v>Pioneer Courthouse Square</x:v>
      </x:c>
      <x:c r="C230" s="7" t="str">
        <x:v>plaza-memorial</x:v>
      </x:c>
      <x:c r="D230" s="7" t="str">
        <x:v>District 4</x:v>
      </x:c>
      <x:c r="E230" s="19" t="n">
        <x:v>0.91842199</x:v>
      </x:c>
      <x:c r="F230" s="7" t="n">
        <x:v>1</x:v>
      </x:c>
      <x:c r="G230" s="7" t="n">
        <x:v>0</x:v>
      </x:c>
      <x:c r="H230" s="7" t="n">
        <x:v>0</x:v>
      </x:c>
      <x:c r="I230" s="7" t="n">
        <x:v>0</x:v>
      </x:c>
      <x:c r="J230" s="7" t="n">
        <x:v>0</x:v>
      </x:c>
      <x:c r="K230" s="7" t="n">
        <x:v>0</x:v>
      </x:c>
      <x:c r="L230" s="26" t="n">
        <x:f>F230*'Service inputs'!B68*'Service inputs'!C68</x:f>
        <x:v>730</x:v>
      </x:c>
      <x:c r="M230" s="26" t="n">
        <x:f>F230*E230*'Service inputs'!D68</x:f>
        <x:v>0</x:v>
      </x:c>
      <x:c r="N230" s="26" t="n">
        <x:f>F230*E230*'Service inputs'!E68</x:f>
        <x:v>0.09184219900000001</x:v>
      </x:c>
      <x:c r="O230" s="26" t="n">
        <x:f>F230*E230*'Service inputs'!F68</x:f>
        <x:v>0</x:v>
      </x:c>
      <x:c r="P230" s="26" t="n">
        <x:f>L230+F230*G230*'Service inputs'!$B$17*'Service inputs'!$B$18*'Service inputs'!$B$19+M230*('Service inputs'!$B$20*'Service inputs'!$B$21+'Service inputs'!$B$22)+N230*'Service inputs'!$B$23+F230*(H230*'Service inputs'!$B$28*'Service inputs'!$B$29+I230*'Service inputs'!$B$24*'Service inputs'!$B$25+J230*'Service inputs'!$B$26*'Service inputs'!$B$27+K230*'Service inputs'!$B$30*'Service inputs'!$B$31)</x:f>
        <x:v>741.02106388</x:v>
      </x:c>
      <x:c r="Q230" s="26" t="n">
        <x:f>O230/SUM($O$5:$O$320)*SUMIF(Workload!$A$5:$A$40,"Ecology",Workload!$G$5:$G$40)</x:f>
        <x:v>0</x:v>
      </x:c>
      <x:c r="R230" s="27" t="n">
        <x:f>P230/SUMIF(Workload!$A$5:$A$40,"Grounds",Workload!$G$5:$G$40)*Staffing!$J$5+Q230/SUMIF(Workload!$A$5:$A$40,"Ecology",Workload!$G$5:$G$40)*Staffing!$J$7</x:f>
        <x:v>75312.82918435453</x:v>
      </x:c>
      <x:c r="S230" s="7" t="n">
        <x:v>63</x:v>
      </x:c>
      <x:c r="T230" s="23" t="n">
        <x:v>0.015873015873015872</x:v>
      </x:c>
      <x:c r="U230" s="7" t="n">
        <x:v>1</x:v>
      </x:c>
      <x:c r="V230" s="7" t="n">
        <x:v>1</x:v>
      </x:c>
      <x:c r="W230" s="7" t="str">
        <x:v>https://parks.portlandciviclab.org/parks/pioneer-courthouse-square-515</x:v>
      </x:c>
    </x:row>
    <x:row r="231" ht="23" customHeight="1">
      <x:c r="A231" s="8" t="str">
        <x:v>1128</x:v>
      </x:c>
      <x:c r="B231" s="8" t="str">
        <x:v>Pittock Acres Park</x:v>
      </x:c>
      <x:c r="C231" s="8" t="str">
        <x:v>developed-park</x:v>
      </x:c>
      <x:c r="D231" s="8" t="str">
        <x:v>District 4</x:v>
      </x:c>
      <x:c r="E231" s="18" t="n">
        <x:v>54.93511225</x:v>
      </x:c>
      <x:c r="F231" s="8" t="n">
        <x:v>1</x:v>
      </x:c>
      <x:c r="G231" s="8" t="n">
        <x:v>0</x:v>
      </x:c>
      <x:c r="H231" s="8" t="n">
        <x:v>0</x:v>
      </x:c>
      <x:c r="I231" s="8" t="n">
        <x:v>0</x:v>
      </x:c>
      <x:c r="J231" s="8" t="n">
        <x:v>0</x:v>
      </x:c>
      <x:c r="K231" s="8" t="n">
        <x:v>0</x:v>
      </x:c>
      <x:c r="L231" s="24" t="n">
        <x:f>F231*'Service inputs'!B65*'Service inputs'!C65</x:f>
        <x:v>547.5</x:v>
      </x:c>
      <x:c r="M231" s="24" t="n">
        <x:f>F231*E231*'Service inputs'!D65</x:f>
        <x:v>30.214311737500005</x:v>
      </x:c>
      <x:c r="N231" s="24" t="n">
        <x:f>F231*E231*'Service inputs'!E65</x:f>
        <x:v>2.7467556125000003</x:v>
      </x:c>
      <x:c r="O231" s="24" t="n">
        <x:f>F231*E231*'Service inputs'!F65</x:f>
        <x:v>13.7337780625</x:v>
      </x:c>
      <x:c r="P231" s="24" t="n">
        <x:f>L231+F231*G231*'Service inputs'!$B$17*'Service inputs'!$B$18*'Service inputs'!$B$19+M231*('Service inputs'!$B$20*'Service inputs'!$B$21+'Service inputs'!$B$22)+N231*'Service inputs'!$B$23+F231*(H231*'Service inputs'!$B$28*'Service inputs'!$B$29+I231*'Service inputs'!$B$24*'Service inputs'!$B$25+J231*'Service inputs'!$B$26*'Service inputs'!$B$27+K231*'Service inputs'!$B$30*'Service inputs'!$B$31)</x:f>
        <x:v>1572.0398434625001</x:v>
      </x:c>
      <x:c r="Q231" s="24" t="n">
        <x:f>O231/SUM($O$5:$O$320)*SUMIF(Workload!$A$5:$A$40,"Ecology",Workload!$G$5:$G$40)</x:f>
        <x:v>144.17320214557873</x:v>
      </x:c>
      <x:c r="R231" s="25" t="n">
        <x:f>P231/SUMIF(Workload!$A$5:$A$40,"Grounds",Workload!$G$5:$G$40)*Staffing!$J$5+Q231/SUMIF(Workload!$A$5:$A$40,"Ecology",Workload!$G$5:$G$40)*Staffing!$J$7</x:f>
        <x:v>176458.20510335328</x:v>
      </x:c>
      <x:c r="S231" s="8" t="n">
        <x:v>22</x:v>
      </x:c>
      <x:c r="T231" s="22" t="n">
        <x:v>0.13636363636363635</x:v>
      </x:c>
      <x:c r="U231" s="8" t="n">
        <x:v>0</x:v>
      </x:c>
      <x:c r="V231" s="8" t="n">
        <x:v>1</x:v>
      </x:c>
      <x:c r="W231" s="8" t="str">
        <x:v>https://parks.portlandciviclab.org/parks/pittock-acres-park-1128</x:v>
      </x:c>
    </x:row>
    <x:row r="232" ht="23" customHeight="1">
      <x:c r="A232" s="7" t="str">
        <x:v>812</x:v>
      </x:c>
      <x:c r="B232" s="7" t="str">
        <x:v>PlayHaven Park</x:v>
      </x:c>
      <x:c r="C232" s="7" t="str">
        <x:v>developed-park</x:v>
      </x:c>
      <x:c r="D232" s="7" t="str">
        <x:v>District 1</x:v>
      </x:c>
      <x:c r="E232" s="19" t="n">
        <x:v>3.15160679</x:v>
      </x:c>
      <x:c r="F232" s="7" t="n">
        <x:v>1</x:v>
      </x:c>
      <x:c r="G232" s="7" t="n">
        <x:v>0</x:v>
      </x:c>
      <x:c r="H232" s="7" t="n">
        <x:v>1</x:v>
      </x:c>
      <x:c r="I232" s="7" t="n">
        <x:v>0</x:v>
      </x:c>
      <x:c r="J232" s="7" t="n">
        <x:v>1</x:v>
      </x:c>
      <x:c r="K232" s="7" t="n">
        <x:v>0</x:v>
      </x:c>
      <x:c r="L232" s="26" t="n">
        <x:f>F232*'Service inputs'!B65*'Service inputs'!C65</x:f>
        <x:v>547.5</x:v>
      </x:c>
      <x:c r="M232" s="26" t="n">
        <x:f>F232*E232*'Service inputs'!D65</x:f>
        <x:v>1.7333837345000003</x:v>
      </x:c>
      <x:c r="N232" s="26" t="n">
        <x:f>F232*E232*'Service inputs'!E65</x:f>
        <x:v>0.15758033950000003</x:v>
      </x:c>
      <x:c r="O232" s="26" t="n">
        <x:f>F232*E232*'Service inputs'!F65</x:f>
        <x:v>0.7879016975</x:v>
      </x:c>
      <x:c r="P232" s="26" t="n">
        <x:f>L232+F232*G232*'Service inputs'!$B$17*'Service inputs'!$B$18*'Service inputs'!$B$19+M232*('Service inputs'!$B$20*'Service inputs'!$B$21+'Service inputs'!$B$22)+N232*'Service inputs'!$B$23+F232*(H232*'Service inputs'!$B$28*'Service inputs'!$B$29+I232*'Service inputs'!$B$24*'Service inputs'!$B$25+J232*'Service inputs'!$B$26*'Service inputs'!$B$27+K232*'Service inputs'!$B$30*'Service inputs'!$B$31)</x:f>
        <x:v>663.2774666335</x:v>
      </x:c>
      <x:c r="Q232" s="26" t="n">
        <x:f>O232/SUM($O$5:$O$320)*SUMIF(Workload!$A$5:$A$40,"Ecology",Workload!$G$5:$G$40)</x:f>
        <x:v>8.271162544462598</x:v>
      </x:c>
      <x:c r="R232" s="27" t="n">
        <x:f>P232/SUMIF(Workload!$A$5:$A$40,"Grounds",Workload!$G$5:$G$40)*Staffing!$J$5+Q232/SUMIF(Workload!$A$5:$A$40,"Ecology",Workload!$G$5:$G$40)*Staffing!$J$7</x:f>
        <x:v>68368.70167522198</x:v>
      </x:c>
      <x:c r="S232" s="7" t="n">
        <x:v>37</x:v>
      </x:c>
      <x:c r="T232" s="23" t="n">
        <x:v>0.16216216216216217</x:v>
      </x:c>
      <x:c r="U232" s="7" t="n">
        <x:v>0</x:v>
      </x:c>
      <x:c r="V232" s="7" t="n">
        <x:v>0</x:v>
      </x:c>
      <x:c r="W232" s="7" t="str">
        <x:v>https://parks.portlandciviclab.org/parks/playhaven-park-812</x:v>
      </x:c>
    </x:row>
    <x:row r="233" ht="23" customHeight="1">
      <x:c r="A233" s="8" t="str">
        <x:v>1139</x:v>
      </x:c>
      <x:c r="B233" s="8" t="str">
        <x:v>Plaza Blocks</x:v>
      </x:c>
      <x:c r="C233" s="8" t="str">
        <x:v>plaza-memorial</x:v>
      </x:c>
      <x:c r="D233" s="8" t="str">
        <x:v>District 4</x:v>
      </x:c>
      <x:c r="E233" s="18" t="n">
        <x:v>1.83690961</x:v>
      </x:c>
      <x:c r="F233" s="8" t="n">
        <x:v>1</x:v>
      </x:c>
      <x:c r="G233" s="8" t="n">
        <x:v>2</x:v>
      </x:c>
      <x:c r="H233" s="8" t="n">
        <x:v>0</x:v>
      </x:c>
      <x:c r="I233" s="8" t="n">
        <x:v>0</x:v>
      </x:c>
      <x:c r="J233" s="8" t="n">
        <x:v>0</x:v>
      </x:c>
      <x:c r="K233" s="8" t="n">
        <x:v>0</x:v>
      </x:c>
      <x:c r="L233" s="24" t="n">
        <x:f>F233*'Service inputs'!B68*'Service inputs'!C68</x:f>
        <x:v>730</x:v>
      </x:c>
      <x:c r="M233" s="24" t="n">
        <x:f>F233*E233*'Service inputs'!D68</x:f>
        <x:v>0</x:v>
      </x:c>
      <x:c r="N233" s="24" t="n">
        <x:f>F233*E233*'Service inputs'!E68</x:f>
        <x:v>0.183690961</x:v>
      </x:c>
      <x:c r="O233" s="24" t="n">
        <x:f>F233*E233*'Service inputs'!F68</x:f>
        <x:v>0</x:v>
      </x:c>
      <x:c r="P233" s="24" t="n">
        <x:f>L233+F233*G233*'Service inputs'!$B$17*'Service inputs'!$B$18*'Service inputs'!$B$19+M233*('Service inputs'!$B$20*'Service inputs'!$B$21+'Service inputs'!$B$22)+N233*'Service inputs'!$B$23+F233*(H233*'Service inputs'!$B$28*'Service inputs'!$B$29+I233*'Service inputs'!$B$24*'Service inputs'!$B$25+J233*'Service inputs'!$B$26*'Service inputs'!$B$27+K233*'Service inputs'!$B$30*'Service inputs'!$B$31)</x:f>
        <x:v>1395.54291532</x:v>
      </x:c>
      <x:c r="Q233" s="24" t="n">
        <x:f>O233/SUM($O$5:$O$320)*SUMIF(Workload!$A$5:$A$40,"Ecology",Workload!$G$5:$G$40)</x:f>
        <x:v>0</x:v>
      </x:c>
      <x:c r="R233" s="25" t="n">
        <x:f>P233/SUMIF(Workload!$A$5:$A$40,"Grounds",Workload!$G$5:$G$40)*Staffing!$J$5+Q233/SUMIF(Workload!$A$5:$A$40,"Ecology",Workload!$G$5:$G$40)*Staffing!$J$7</x:f>
        <x:v>141834.409740816</x:v>
      </x:c>
      <x:c r="S233" s="8" t="n">
        <x:v>273</x:v>
      </x:c>
      <x:c r="T233" s="22" t="n">
        <x:v>0.05860805860805861</x:v>
      </x:c>
      <x:c r="U233" s="8" t="n">
        <x:v>10</x:v>
      </x:c>
      <x:c r="V233" s="8" t="n">
        <x:v>0</x:v>
      </x:c>
      <x:c r="W233" s="8" t="str">
        <x:v>https://parks.portlandciviclab.org/parks/plaza-blocks-1139</x:v>
      </x:c>
    </x:row>
    <x:row r="234" ht="23" customHeight="1">
      <x:c r="A234" s="7" t="str">
        <x:v>523</x:v>
      </x:c>
      <x:c r="B234" s="7" t="str">
        <x:v>Portland Heights Park</x:v>
      </x:c>
      <x:c r="C234" s="7" t="str">
        <x:v>developed-park</x:v>
      </x:c>
      <x:c r="D234" s="7" t="str">
        <x:v>District 4</x:v>
      </x:c>
      <x:c r="E234" s="19" t="n">
        <x:v>5.08267483</x:v>
      </x:c>
      <x:c r="F234" s="7" t="n">
        <x:v>1</x:v>
      </x:c>
      <x:c r="G234" s="7" t="n">
        <x:v>1</x:v>
      </x:c>
      <x:c r="H234" s="7" t="n">
        <x:v>1</x:v>
      </x:c>
      <x:c r="I234" s="7" t="n">
        <x:v>2</x:v>
      </x:c>
      <x:c r="J234" s="7" t="n">
        <x:v>3</x:v>
      </x:c>
      <x:c r="K234" s="7" t="n">
        <x:v>0</x:v>
      </x:c>
      <x:c r="L234" s="26" t="n">
        <x:f>F234*'Service inputs'!B65*'Service inputs'!C65</x:f>
        <x:v>547.5</x:v>
      </x:c>
      <x:c r="M234" s="26" t="n">
        <x:f>F234*E234*'Service inputs'!D65</x:f>
        <x:v>2.7954711565000006</x:v>
      </x:c>
      <x:c r="N234" s="26" t="n">
        <x:f>F234*E234*'Service inputs'!E65</x:f>
        <x:v>0.2541337415</x:v>
      </x:c>
      <x:c r="O234" s="26" t="n">
        <x:f>F234*E234*'Service inputs'!F65</x:f>
        <x:v>1.2706687075</x:v>
      </x:c>
      <x:c r="P234" s="26" t="n">
        <x:f>L234+F234*G234*'Service inputs'!$B$17*'Service inputs'!$B$18*'Service inputs'!$B$19+M234*('Service inputs'!$B$20*'Service inputs'!$B$21+'Service inputs'!$B$22)+N234*'Service inputs'!$B$23+F234*(H234*'Service inputs'!$B$28*'Service inputs'!$B$29+I234*'Service inputs'!$B$24*'Service inputs'!$B$25+J234*'Service inputs'!$B$26*'Service inputs'!$B$27+K234*'Service inputs'!$B$30*'Service inputs'!$B$31)</x:f>
        <x:v>1267.0418855795</x:v>
      </x:c>
      <x:c r="Q234" s="26" t="n">
        <x:f>O234/SUM($O$5:$O$320)*SUMIF(Workload!$A$5:$A$40,"Ecology",Workload!$G$5:$G$40)</x:f>
        <x:v>13.339110009843202</x:v>
      </x:c>
      <x:c r="R234" s="27" t="n">
        <x:f>P234/SUMIF(Workload!$A$5:$A$40,"Grounds",Workload!$G$5:$G$40)*Staffing!$J$5+Q234/SUMIF(Workload!$A$5:$A$40,"Ecology",Workload!$G$5:$G$40)*Staffing!$J$7</x:f>
        <x:v>130318.14206500236</x:v>
      </x:c>
      <x:c r="S234" s="7" t="n">
        <x:v>39</x:v>
      </x:c>
      <x:c r="T234" s="23" t="n">
        <x:v>0.23076923076923078</x:v>
      </x:c>
      <x:c r="U234" s="7" t="n">
        <x:v>1</x:v>
      </x:c>
      <x:c r="V234" s="7" t="n">
        <x:v>1</x:v>
      </x:c>
      <x:c r="W234" s="7" t="str">
        <x:v>https://parks.portlandciviclab.org/parks/portland-heights-park-523</x:v>
      </x:c>
    </x:row>
    <x:row r="235" ht="23" customHeight="1">
      <x:c r="A235" s="8" t="str">
        <x:v>524</x:v>
      </x:c>
      <x:c r="B235" s="8" t="str">
        <x:v>Portland International Raceway</x:v>
      </x:c>
      <x:c r="C235" s="8" t="str">
        <x:v>golf-raceway</x:v>
      </x:c>
      <x:c r="D235" s="8" t="str">
        <x:v>District 2</x:v>
      </x:c>
      <x:c r="E235" s="18" t="n">
        <x:v>289.27600971</x:v>
      </x:c>
      <x:c r="F235" s="8" t="n">
        <x:v>0</x:v>
      </x:c>
      <x:c r="G235" s="8" t="n">
        <x:v>3</x:v>
      </x:c>
      <x:c r="H235" s="8" t="n">
        <x:v>0</x:v>
      </x:c>
      <x:c r="I235" s="8" t="n">
        <x:v>0</x:v>
      </x:c>
      <x:c r="J235" s="8" t="n">
        <x:v>0</x:v>
      </x:c>
      <x:c r="K235" s="8" t="n">
        <x:v>0</x:v>
      </x:c>
      <x:c r="L235" s="24" t="n">
        <x:f>F235*'Service inputs'!B72*'Service inputs'!C72</x:f>
        <x:v>0</x:v>
      </x:c>
      <x:c r="M235" s="24" t="n">
        <x:f>F235*E235*'Service inputs'!D72</x:f>
        <x:v>0</x:v>
      </x:c>
      <x:c r="N235" s="24" t="n">
        <x:f>F235*E235*'Service inputs'!E72</x:f>
        <x:v>0</x:v>
      </x:c>
      <x:c r="O235" s="24" t="n">
        <x:f>F235*E235*'Service inputs'!F72</x:f>
        <x:v>0</x:v>
      </x:c>
      <x:c r="P235" s="24" t="n">
        <x:f>L235+F235*G235*'Service inputs'!$B$17*'Service inputs'!$B$18*'Service inputs'!$B$19+M235*('Service inputs'!$B$20*'Service inputs'!$B$21+'Service inputs'!$B$22)+N235*'Service inputs'!$B$23+F235*(H235*'Service inputs'!$B$28*'Service inputs'!$B$29+I235*'Service inputs'!$B$24*'Service inputs'!$B$25+J235*'Service inputs'!$B$26*'Service inputs'!$B$27+K235*'Service inputs'!$B$30*'Service inputs'!$B$31)</x:f>
        <x:v>0</x:v>
      </x:c>
      <x:c r="Q235" s="24" t="n">
        <x:f>O235/SUM($O$5:$O$320)*SUMIF(Workload!$A$5:$A$40,"Ecology",Workload!$G$5:$G$40)</x:f>
        <x:v>0</x:v>
      </x:c>
      <x:c r="R235" s="25" t="n">
        <x:f>P235/SUMIF(Workload!$A$5:$A$40,"Grounds",Workload!$G$5:$G$40)*Staffing!$J$5+Q235/SUMIF(Workload!$A$5:$A$40,"Ecology",Workload!$G$5:$G$40)*Staffing!$J$7</x:f>
        <x:v>0</x:v>
      </x:c>
      <x:c r="S235" s="8" t="n">
        <x:v>16</x:v>
      </x:c>
      <x:c r="T235" s="22" t="n">
        <x:v>0.625</x:v>
      </x:c>
      <x:c r="U235" s="8" t="n">
        <x:v>0</x:v>
      </x:c>
      <x:c r="V235" s="8" t="n">
        <x:v>0</x:v>
      </x:c>
      <x:c r="W235" s="8" t="str">
        <x:v>https://parks.portlandciviclab.org/parks/portland-international-raceway-524</x:v>
      </x:c>
    </x:row>
    <x:row r="236" ht="23" customHeight="1">
      <x:c r="A236" s="7" t="str">
        <x:v>884</x:v>
      </x:c>
      <x:c r="B236" s="7" t="str">
        <x:v>Portsmouth Community Garden</x:v>
      </x:c>
      <x:c r="C236" s="7" t="str">
        <x:v>community-garden</x:v>
      </x:c>
      <x:c r="D236" s="7" t="str">
        <x:v>District 2</x:v>
      </x:c>
      <x:c r="E236" s="19" t="n">
        <x:v>0.22935899</x:v>
      </x:c>
      <x:c r="F236" s="7" t="n">
        <x:v>1</x:v>
      </x:c>
      <x:c r="G236" s="7" t="n">
        <x:v>0</x:v>
      </x:c>
      <x:c r="H236" s="7" t="n">
        <x:v>0</x:v>
      </x:c>
      <x:c r="I236" s="7" t="n">
        <x:v>0</x:v>
      </x:c>
      <x:c r="J236" s="7" t="n">
        <x:v>0</x:v>
      </x:c>
      <x:c r="K236" s="7" t="n">
        <x:v>0</x:v>
      </x:c>
      <x:c r="L236" s="26" t="n">
        <x:f>F236*'Service inputs'!B67*'Service inputs'!C67</x:f>
        <x:v>52</x:v>
      </x:c>
      <x:c r="M236" s="26" t="n">
        <x:f>F236*E236*'Service inputs'!D67</x:f>
        <x:v>0.011467949500000001</x:v>
      </x:c>
      <x:c r="N236" s="26" t="n">
        <x:f>F236*E236*'Service inputs'!E67</x:f>
        <x:v>0.022935899000000003</x:v>
      </x:c>
      <x:c r="O236" s="26" t="n">
        <x:f>F236*E236*'Service inputs'!F67</x:f>
        <x:v>0</x:v>
      </x:c>
      <x:c r="P236" s="26" t="n">
        <x:f>L236+F236*G236*'Service inputs'!$B$17*'Service inputs'!$B$18*'Service inputs'!$B$19+M236*('Service inputs'!$B$20*'Service inputs'!$B$21+'Service inputs'!$B$22)+N236*'Service inputs'!$B$23+F236*(H236*'Service inputs'!$B$28*'Service inputs'!$B$29+I236*'Service inputs'!$B$24*'Service inputs'!$B$25+J236*'Service inputs'!$B$26*'Service inputs'!$B$27+K236*'Service inputs'!$B$30*'Service inputs'!$B$31)</x:f>
        <x:v>55.0160707185</x:v>
      </x:c>
      <x:c r="Q236" s="26" t="n">
        <x:f>O236/SUM($O$5:$O$320)*SUMIF(Workload!$A$5:$A$40,"Ecology",Workload!$G$5:$G$40)</x:f>
        <x:v>0</x:v>
      </x:c>
      <x:c r="R236" s="27" t="n">
        <x:f>P236/SUMIF(Workload!$A$5:$A$40,"Grounds",Workload!$G$5:$G$40)*Staffing!$J$5+Q236/SUMIF(Workload!$A$5:$A$40,"Ecology",Workload!$G$5:$G$40)*Staffing!$J$7</x:f>
        <x:v>5591.495489644731</x:v>
      </x:c>
      <x:c r="S236" s="7" t="n">
        <x:v>4</x:v>
      </x:c>
      <x:c r="T236" s="23" t="n">
        <x:v>0.5</x:v>
      </x:c>
      <x:c r="U236" s="7" t="n">
        <x:v>2</x:v>
      </x:c>
      <x:c r="V236" s="7" t="n">
        <x:v>0</x:v>
      </x:c>
      <x:c r="W236" s="7" t="str">
        <x:v>https://parks.portlandciviclab.org/parks/portsmouth-community-garden-884</x:v>
      </x:c>
    </x:row>
    <x:row r="237" ht="23" customHeight="1">
      <x:c r="A237" s="8" t="str">
        <x:v>527</x:v>
      </x:c>
      <x:c r="B237" s="8" t="str">
        <x:v>Portsmouth Park</x:v>
      </x:c>
      <x:c r="C237" s="8" t="str">
        <x:v>developed-park</x:v>
      </x:c>
      <x:c r="D237" s="8" t="str">
        <x:v>District 2</x:v>
      </x:c>
      <x:c r="E237" s="18" t="n">
        <x:v>4.02505459</x:v>
      </x:c>
      <x:c r="F237" s="8" t="n">
        <x:v>1</x:v>
      </x:c>
      <x:c r="G237" s="8" t="n">
        <x:v>0</x:v>
      </x:c>
      <x:c r="H237" s="8" t="n">
        <x:v>1</x:v>
      </x:c>
      <x:c r="I237" s="8" t="n">
        <x:v>3</x:v>
      </x:c>
      <x:c r="J237" s="8" t="n">
        <x:v>0</x:v>
      </x:c>
      <x:c r="K237" s="8" t="n">
        <x:v>0</x:v>
      </x:c>
      <x:c r="L237" s="24" t="n">
        <x:f>F237*'Service inputs'!B65*'Service inputs'!C65</x:f>
        <x:v>547.5</x:v>
      </x:c>
      <x:c r="M237" s="24" t="n">
        <x:f>F237*E237*'Service inputs'!D65</x:f>
        <x:v>2.2137800245</x:v>
      </x:c>
      <x:c r="N237" s="24" t="n">
        <x:f>F237*E237*'Service inputs'!E65</x:f>
        <x:v>0.2012527295</x:v>
      </x:c>
      <x:c r="O237" s="24" t="n">
        <x:f>F237*E237*'Service inputs'!F65</x:f>
        <x:v>1.0062636475</x:v>
      </x:c>
      <x:c r="P237" s="24" t="n">
        <x:f>L237+F237*G237*'Service inputs'!$B$17*'Service inputs'!$B$18*'Service inputs'!$B$19+M237*('Service inputs'!$B$20*'Service inputs'!$B$21+'Service inputs'!$B$22)+N237*'Service inputs'!$B$23+F237*(H237*'Service inputs'!$B$28*'Service inputs'!$B$29+I237*'Service inputs'!$B$24*'Service inputs'!$B$25+J237*'Service inputs'!$B$26*'Service inputs'!$B$27+K237*'Service inputs'!$B$30*'Service inputs'!$B$31)</x:f>
        <x:v>976.5672681035</x:v>
      </x:c>
      <x:c r="Q237" s="24" t="n">
        <x:f>O237/SUM($O$5:$O$320)*SUMIF(Workload!$A$5:$A$40,"Ecology",Workload!$G$5:$G$40)</x:f>
        <x:v>10.563462697776856</x:v>
      </x:c>
      <x:c r="R237" s="25" t="n">
        <x:f>P237/SUMIF(Workload!$A$5:$A$40,"Grounds",Workload!$G$5:$G$40)*Staffing!$J$5+Q237/SUMIF(Workload!$A$5:$A$40,"Ecology",Workload!$G$5:$G$40)*Staffing!$J$7</x:f>
        <x:v>100474.84961528945</x:v>
      </x:c>
      <x:c r="S237" s="8" t="n">
        <x:v>18</x:v>
      </x:c>
      <x:c r="T237" s="22" t="n">
        <x:v>0.1111111111111111</x:v>
      </x:c>
      <x:c r="U237" s="8" t="n">
        <x:v>0</x:v>
      </x:c>
      <x:c r="V237" s="8" t="n">
        <x:v>0</x:v>
      </x:c>
      <x:c r="W237" s="8" t="str">
        <x:v>https://parks.portlandciviclab.org/parks/portsmouth-park-527</x:v>
      </x:c>
    </x:row>
    <x:row r="238" ht="23" customHeight="1">
      <x:c r="A238" s="7" t="str">
        <x:v>1393</x:v>
      </x:c>
      <x:c r="B238" s="7" t="str">
        <x:v>Powell Butte - Lower Floodplain</x:v>
      </x:c>
      <x:c r="C238" s="7" t="str">
        <x:v>natural-area</x:v>
      </x:c>
      <x:c r="D238" s="7" t="str">
        <x:v>District 1</x:v>
      </x:c>
      <x:c r="E238" s="19" t="n">
        <x:v>65.24447638</x:v>
      </x:c>
      <x:c r="F238" s="7" t="n">
        <x:v>1</x:v>
      </x:c>
      <x:c r="G238" s="7" t="n">
        <x:v>0</x:v>
      </x:c>
      <x:c r="H238" s="7" t="n">
        <x:v>0</x:v>
      </x:c>
      <x:c r="I238" s="7" t="n">
        <x:v>0</x:v>
      </x:c>
      <x:c r="J238" s="7" t="n">
        <x:v>0</x:v>
      </x:c>
      <x:c r="K238" s="7" t="n">
        <x:v>0</x:v>
      </x:c>
      <x:c r="L238" s="26" t="n">
        <x:f>F238*'Service inputs'!B66*'Service inputs'!C66</x:f>
        <x:v>78</x:v>
      </x:c>
      <x:c r="M238" s="26" t="n">
        <x:f>F238*E238*'Service inputs'!D66</x:f>
        <x:v>0.32622238189999997</x:v>
      </x:c>
      <x:c r="N238" s="26" t="n">
        <x:f>F238*E238*'Service inputs'!E66</x:f>
        <x:v>0</x:v>
      </x:c>
      <x:c r="O238" s="26" t="n">
        <x:f>F238*E238*'Service inputs'!F66</x:f>
        <x:v>64.59203161619999</x:v>
      </x:c>
      <x:c r="P238" s="26" t="n">
        <x:f>L238+F238*G238*'Service inputs'!$B$17*'Service inputs'!$B$18*'Service inputs'!$B$19+M238*('Service inputs'!$B$20*'Service inputs'!$B$21+'Service inputs'!$B$22)+N238*'Service inputs'!$B$23+F238*(H238*'Service inputs'!$B$28*'Service inputs'!$B$29+I238*'Service inputs'!$B$24*'Service inputs'!$B$25+J238*'Service inputs'!$B$26*'Service inputs'!$B$27+K238*'Service inputs'!$B$30*'Service inputs'!$B$31)</x:f>
        <x:v>85.5031147837</x:v>
      </x:c>
      <x:c r="Q238" s="26" t="n">
        <x:f>O238/SUM($O$5:$O$320)*SUMIF(Workload!$A$5:$A$40,"Ecology",Workload!$G$5:$G$40)</x:f>
        <x:v>678.0683355167632</x:v>
      </x:c>
      <x:c r="R238" s="27" t="n">
        <x:f>P238/SUMIF(Workload!$A$5:$A$40,"Grounds",Workload!$G$5:$G$40)*Staffing!$J$5+Q238/SUMIF(Workload!$A$5:$A$40,"Ecology",Workload!$G$5:$G$40)*Staffing!$J$7</x:f>
        <x:v>87165.52672721918</x:v>
      </x:c>
      <x:c r="S238" s="7" t="n">
        <x:v>0</x:v>
      </x:c>
      <x:c r="T238" s="23" t="n">
        <x:v>0</x:v>
      </x:c>
      <x:c r="U238" s="7" t="n">
        <x:v>0</x:v>
      </x:c>
      <x:c r="V238" s="7" t="n">
        <x:v>0</x:v>
      </x:c>
      <x:c r="W238" s="7" t="str">
        <x:v>https://parks.portlandciviclab.org/parks/powell-butte-lower-floodplain-1393</x:v>
      </x:c>
    </x:row>
    <x:row r="239" ht="23" customHeight="1">
      <x:c r="A239" s="8" t="str">
        <x:v>1498</x:v>
      </x:c>
      <x:c r="B239" s="8" t="str">
        <x:v>Powell Butte Community Garden</x:v>
      </x:c>
      <x:c r="C239" s="8" t="str">
        <x:v>community-garden</x:v>
      </x:c>
      <x:c r="D239" s="8" t="str">
        <x:v>District 1</x:v>
      </x:c>
      <x:c r="E239" s="18" t="n">
        <x:v>0.7313777</x:v>
      </x:c>
      <x:c r="F239" s="8" t="n">
        <x:v>1</x:v>
      </x:c>
      <x:c r="G239" s="8" t="n">
        <x:v>0</x:v>
      </x:c>
      <x:c r="H239" s="8" t="n">
        <x:v>0</x:v>
      </x:c>
      <x:c r="I239" s="8" t="n">
        <x:v>0</x:v>
      </x:c>
      <x:c r="J239" s="8" t="n">
        <x:v>0</x:v>
      </x:c>
      <x:c r="K239" s="8" t="n">
        <x:v>0</x:v>
      </x:c>
      <x:c r="L239" s="24" t="n">
        <x:f>F239*'Service inputs'!B67*'Service inputs'!C67</x:f>
        <x:v>52</x:v>
      </x:c>
      <x:c r="M239" s="24" t="n">
        <x:f>F239*E239*'Service inputs'!D67</x:f>
        <x:v>0.036568885</x:v>
      </x:c>
      <x:c r="N239" s="24" t="n">
        <x:f>F239*E239*'Service inputs'!E67</x:f>
        <x:v>0.07313777</x:v>
      </x:c>
      <x:c r="O239" s="24" t="n">
        <x:f>F239*E239*'Service inputs'!F67</x:f>
        <x:v>0</x:v>
      </x:c>
      <x:c r="P239" s="24" t="n">
        <x:f>L239+F239*G239*'Service inputs'!$B$17*'Service inputs'!$B$18*'Service inputs'!$B$19+M239*('Service inputs'!$B$20*'Service inputs'!$B$21+'Service inputs'!$B$22)+N239*'Service inputs'!$B$23+F239*(H239*'Service inputs'!$B$28*'Service inputs'!$B$29+I239*'Service inputs'!$B$24*'Service inputs'!$B$25+J239*'Service inputs'!$B$26*'Service inputs'!$B$27+K239*'Service inputs'!$B$30*'Service inputs'!$B$31)</x:f>
        <x:v>61.617616755</x:v>
      </x:c>
      <x:c r="Q239" s="24" t="n">
        <x:f>O239/SUM($O$5:$O$320)*SUMIF(Workload!$A$5:$A$40,"Ecology",Workload!$G$5:$G$40)</x:f>
        <x:v>0</x:v>
      </x:c>
      <x:c r="R239" s="25" t="n">
        <x:f>P239/SUMIF(Workload!$A$5:$A$40,"Grounds",Workload!$G$5:$G$40)*Staffing!$J$5+Q239/SUMIF(Workload!$A$5:$A$40,"Ecology",Workload!$G$5:$G$40)*Staffing!$J$7</x:f>
        <x:v>6262.436078561768</x:v>
      </x:c>
      <x:c r="S239" s="8" t="n">
        <x:v>3</x:v>
      </x:c>
      <x:c r="T239" s="22" t="n">
        <x:v>0.3333333333333333</x:v>
      </x:c>
      <x:c r="U239" s="8" t="n">
        <x:v>0</x:v>
      </x:c>
      <x:c r="V239" s="8" t="n">
        <x:v>0</x:v>
      </x:c>
      <x:c r="W239" s="8" t="str">
        <x:v>https://parks.portlandciviclab.org/parks/powell-butte-community-garden-1498</x:v>
      </x:c>
    </x:row>
    <x:row r="240" ht="23" customHeight="1">
      <x:c r="A240" s="7" t="str">
        <x:v>528</x:v>
      </x:c>
      <x:c r="B240" s="7" t="str">
        <x:v>Powell Butte Nature Park</x:v>
      </x:c>
      <x:c r="C240" s="7" t="str">
        <x:v>natural-area</x:v>
      </x:c>
      <x:c r="D240" s="7" t="str">
        <x:v>District 1</x:v>
      </x:c>
      <x:c r="E240" s="19" t="n">
        <x:v>603.03510341</x:v>
      </x:c>
      <x:c r="F240" s="7" t="n">
        <x:v>1</x:v>
      </x:c>
      <x:c r="G240" s="7" t="n">
        <x:v>0</x:v>
      </x:c>
      <x:c r="H240" s="7" t="n">
        <x:v>0</x:v>
      </x:c>
      <x:c r="I240" s="7" t="n">
        <x:v>0</x:v>
      </x:c>
      <x:c r="J240" s="7" t="n">
        <x:v>0</x:v>
      </x:c>
      <x:c r="K240" s="7" t="n">
        <x:v>0</x:v>
      </x:c>
      <x:c r="L240" s="26" t="n">
        <x:f>F240*'Service inputs'!B66*'Service inputs'!C66</x:f>
        <x:v>78</x:v>
      </x:c>
      <x:c r="M240" s="26" t="n">
        <x:f>F240*E240*'Service inputs'!D66</x:f>
        <x:v>3.0151755170500003</x:v>
      </x:c>
      <x:c r="N240" s="26" t="n">
        <x:f>F240*E240*'Service inputs'!E66</x:f>
        <x:v>0</x:v>
      </x:c>
      <x:c r="O240" s="26" t="n">
        <x:f>F240*E240*'Service inputs'!F66</x:f>
        <x:v>597.0047523759</x:v>
      </x:c>
      <x:c r="P240" s="26" t="n">
        <x:f>L240+F240*G240*'Service inputs'!$B$17*'Service inputs'!$B$18*'Service inputs'!$B$19+M240*('Service inputs'!$B$20*'Service inputs'!$B$21+'Service inputs'!$B$22)+N240*'Service inputs'!$B$23+F240*(H240*'Service inputs'!$B$28*'Service inputs'!$B$29+I240*'Service inputs'!$B$24*'Service inputs'!$B$25+J240*'Service inputs'!$B$26*'Service inputs'!$B$27+K240*'Service inputs'!$B$30*'Service inputs'!$B$31)</x:f>
        <x:v>147.34903689215002</x:v>
      </x:c>
      <x:c r="Q240" s="26" t="n">
        <x:f>O240/SUM($O$5:$O$320)*SUMIF(Workload!$A$5:$A$40,"Ecology",Workload!$G$5:$G$40)</x:f>
        <x:v>6267.182013169494</x:v>
      </x:c>
      <x:c r="R240" s="27" t="n">
        <x:f>P240/SUMIF(Workload!$A$5:$A$40,"Grounds",Workload!$G$5:$G$40)*Staffing!$J$5+Q240/SUMIF(Workload!$A$5:$A$40,"Ecology",Workload!$G$5:$G$40)*Staffing!$J$7</x:f>
        <x:v>740301.2745421592</x:v>
      </x:c>
      <x:c r="S240" s="7" t="n">
        <x:v>0</x:v>
      </x:c>
      <x:c r="T240" s="23" t="n">
        <x:v>0</x:v>
      </x:c>
      <x:c r="U240" s="7" t="n">
        <x:v>0</x:v>
      </x:c>
      <x:c r="V240" s="7" t="n">
        <x:v>3</x:v>
      </x:c>
      <x:c r="W240" s="7" t="str">
        <x:v>https://parks.portlandciviclab.org/parks/powell-butte-nature-park-528</x:v>
      </x:c>
    </x:row>
    <x:row r="241" ht="23" customHeight="1">
      <x:c r="A241" s="8" t="str">
        <x:v>530</x:v>
      </x:c>
      <x:c r="B241" s="8" t="str">
        <x:v>Powell Park</x:v>
      </x:c>
      <x:c r="C241" s="8" t="str">
        <x:v>developed-park</x:v>
      </x:c>
      <x:c r="D241" s="8" t="str">
        <x:v>District 3</x:v>
      </x:c>
      <x:c r="E241" s="18" t="n">
        <x:v>8.09094019</x:v>
      </x:c>
      <x:c r="F241" s="8" t="n">
        <x:v>1</x:v>
      </x:c>
      <x:c r="G241" s="8" t="n">
        <x:v>1</x:v>
      </x:c>
      <x:c r="H241" s="8" t="n">
        <x:v>1</x:v>
      </x:c>
      <x:c r="I241" s="8" t="n">
        <x:v>3</x:v>
      </x:c>
      <x:c r="J241" s="8" t="n">
        <x:v>1</x:v>
      </x:c>
      <x:c r="K241" s="8" t="n">
        <x:v>0</x:v>
      </x:c>
      <x:c r="L241" s="24" t="n">
        <x:f>F241*'Service inputs'!B65*'Service inputs'!C65</x:f>
        <x:v>547.5</x:v>
      </x:c>
      <x:c r="M241" s="24" t="n">
        <x:f>F241*E241*'Service inputs'!D65</x:f>
        <x:v>4.4500171045000005</x:v>
      </x:c>
      <x:c r="N241" s="24" t="n">
        <x:f>F241*E241*'Service inputs'!E65</x:f>
        <x:v>0.4045470095</x:v>
      </x:c>
      <x:c r="O241" s="24" t="n">
        <x:f>F241*E241*'Service inputs'!F65</x:f>
        <x:v>2.0227350475</x:v>
      </x:c>
      <x:c r="P241" s="24" t="n">
        <x:f>L241+F241*G241*'Service inputs'!$B$17*'Service inputs'!$B$18*'Service inputs'!$B$19+M241*('Service inputs'!$B$20*'Service inputs'!$B$21+'Service inputs'!$B$22)+N241*'Service inputs'!$B$23+F241*(H241*'Service inputs'!$B$28*'Service inputs'!$B$29+I241*'Service inputs'!$B$24*'Service inputs'!$B$25+J241*'Service inputs'!$B$26*'Service inputs'!$B$27+K241*'Service inputs'!$B$30*'Service inputs'!$B$31)</x:f>
        <x:v>1392.1460345435</x:v>
      </x:c>
      <x:c r="Q241" s="24" t="n">
        <x:f>O241/SUM($O$5:$O$320)*SUMIF(Workload!$A$5:$A$40,"Ecology",Workload!$G$5:$G$40)</x:f>
        <x:v>21.234083408296975</x:v>
      </x:c>
      <x:c r="R241" s="25" t="n">
        <x:f>P241/SUMIF(Workload!$A$5:$A$40,"Grounds",Workload!$G$5:$G$40)*Staffing!$J$5+Q241/SUMIF(Workload!$A$5:$A$40,"Ecology",Workload!$G$5:$G$40)*Staffing!$J$7</x:f>
        <x:v>143946.6756317247</x:v>
      </x:c>
      <x:c r="S241" s="8" t="n">
        <x:v>83</x:v>
      </x:c>
      <x:c r="T241" s="22" t="n">
        <x:v>0.30120481927710846</x:v>
      </x:c>
      <x:c r="U241" s="8" t="n">
        <x:v>4</x:v>
      </x:c>
      <x:c r="V241" s="8" t="n">
        <x:v>0</x:v>
      </x:c>
      <x:c r="W241" s="8" t="str">
        <x:v>https://parks.portlandciviclab.org/parks/powell-park-530</x:v>
      </x:c>
    </x:row>
    <x:row r="242" ht="23" customHeight="1">
      <x:c r="A242" s="7" t="str">
        <x:v>531</x:v>
      </x:c>
      <x:c r="B242" s="7" t="str">
        <x:v>Powers Marine Park</x:v>
      </x:c>
      <x:c r="C242" s="7" t="str">
        <x:v>natural-area</x:v>
      </x:c>
      <x:c r="D242" s="7" t="str">
        <x:v>District 4</x:v>
      </x:c>
      <x:c r="E242" s="19" t="n">
        <x:v>19.69923447</x:v>
      </x:c>
      <x:c r="F242" s="7" t="n">
        <x:v>1</x:v>
      </x:c>
      <x:c r="G242" s="7" t="n">
        <x:v>0</x:v>
      </x:c>
      <x:c r="H242" s="7" t="n">
        <x:v>0</x:v>
      </x:c>
      <x:c r="I242" s="7" t="n">
        <x:v>0</x:v>
      </x:c>
      <x:c r="J242" s="7" t="n">
        <x:v>0</x:v>
      </x:c>
      <x:c r="K242" s="7" t="n">
        <x:v>0</x:v>
      </x:c>
      <x:c r="L242" s="26" t="n">
        <x:f>F242*'Service inputs'!B66*'Service inputs'!C66</x:f>
        <x:v>78</x:v>
      </x:c>
      <x:c r="M242" s="26" t="n">
        <x:f>F242*E242*'Service inputs'!D66</x:f>
        <x:v>0.09849617235000001</x:v>
      </x:c>
      <x:c r="N242" s="26" t="n">
        <x:f>F242*E242*'Service inputs'!E66</x:f>
        <x:v>0</x:v>
      </x:c>
      <x:c r="O242" s="26" t="n">
        <x:f>F242*E242*'Service inputs'!F66</x:f>
        <x:v>19.5022421253</x:v>
      </x:c>
      <x:c r="P242" s="26" t="n">
        <x:f>L242+F242*G242*'Service inputs'!$B$17*'Service inputs'!$B$18*'Service inputs'!$B$19+M242*('Service inputs'!$B$20*'Service inputs'!$B$21+'Service inputs'!$B$22)+N242*'Service inputs'!$B$23+F242*(H242*'Service inputs'!$B$28*'Service inputs'!$B$29+I242*'Service inputs'!$B$24*'Service inputs'!$B$25+J242*'Service inputs'!$B$26*'Service inputs'!$B$27+K242*'Service inputs'!$B$30*'Service inputs'!$B$31)</x:f>
        <x:v>80.26541196405</x:v>
      </x:c>
      <x:c r="Q242" s="26" t="n">
        <x:f>O242/SUM($O$5:$O$320)*SUMIF(Workload!$A$5:$A$40,"Ecology",Workload!$G$5:$G$40)</x:f>
        <x:v>204.72885781518704</x:v>
      </x:c>
      <x:c r="R242" s="27" t="n">
        <x:f>P242/SUMIF(Workload!$A$5:$A$40,"Grounds",Workload!$G$5:$G$40)*Staffing!$J$5+Q242/SUMIF(Workload!$A$5:$A$40,"Ecology",Workload!$G$5:$G$40)*Staffing!$J$7</x:f>
        <x:v>31851.759362804383</x:v>
      </x:c>
      <x:c r="S242" s="7" t="n">
        <x:v>5</x:v>
      </x:c>
      <x:c r="T242" s="23" t="n">
        <x:v>0.4</x:v>
      </x:c>
      <x:c r="U242" s="7" t="n">
        <x:v>2</x:v>
      </x:c>
      <x:c r="V242" s="7" t="n">
        <x:v>0</x:v>
      </x:c>
      <x:c r="W242" s="7" t="str">
        <x:v>https://parks.portlandciviclab.org/parks/powers-marine-park-531</x:v>
      </x:c>
    </x:row>
    <x:row r="243" ht="23" customHeight="1">
      <x:c r="A243" s="8" t="str">
        <x:v>561</x:v>
      </x:c>
      <x:c r="B243" s="8" t="str">
        <x:v>Raymond Park</x:v>
      </x:c>
      <x:c r="C243" s="8" t="str">
        <x:v>developed-park</x:v>
      </x:c>
      <x:c r="D243" s="8" t="str">
        <x:v>District 1</x:v>
      </x:c>
      <x:c r="E243" s="18" t="n">
        <x:v>6.11476816</x:v>
      </x:c>
      <x:c r="F243" s="8" t="n">
        <x:v>1</x:v>
      </x:c>
      <x:c r="G243" s="8" t="n">
        <x:v>1</x:v>
      </x:c>
      <x:c r="H243" s="8" t="n">
        <x:v>1</x:v>
      </x:c>
      <x:c r="I243" s="8" t="n">
        <x:v>0</x:v>
      </x:c>
      <x:c r="J243" s="8" t="n">
        <x:v>3</x:v>
      </x:c>
      <x:c r="K243" s="8" t="n">
        <x:v>1</x:v>
      </x:c>
      <x:c r="L243" s="24" t="n">
        <x:f>F243*'Service inputs'!B65*'Service inputs'!C65</x:f>
        <x:v>547.5</x:v>
      </x:c>
      <x:c r="M243" s="24" t="n">
        <x:f>F243*E243*'Service inputs'!D65</x:f>
        <x:v>3.363122488</x:v>
      </x:c>
      <x:c r="N243" s="24" t="n">
        <x:f>F243*E243*'Service inputs'!E65</x:f>
        <x:v>0.305738408</x:v>
      </x:c>
      <x:c r="O243" s="24" t="n">
        <x:f>F243*E243*'Service inputs'!F65</x:f>
        <x:v>1.52869204</x:v>
      </x:c>
      <x:c r="P243" s="24" t="n">
        <x:f>L243+F243*G243*'Service inputs'!$B$17*'Service inputs'!$B$18*'Service inputs'!$B$19+M243*('Service inputs'!$B$20*'Service inputs'!$B$21+'Service inputs'!$B$22)+N243*'Service inputs'!$B$23+F243*(H243*'Service inputs'!$B$28*'Service inputs'!$B$29+I243*'Service inputs'!$B$24*'Service inputs'!$B$25+J243*'Service inputs'!$B$26*'Service inputs'!$B$27+K243*'Service inputs'!$B$30*'Service inputs'!$B$31)</x:f>
        <x:v>1124.290426184</x:v>
      </x:c>
      <x:c r="Q243" s="24" t="n">
        <x:f>O243/SUM($O$5:$O$320)*SUMIF(Workload!$A$5:$A$40,"Ecology",Workload!$G$5:$G$40)</x:f>
        <x:v>16.047763805288817</x:v>
      </x:c>
      <x:c r="R243" s="25" t="n">
        <x:f>P243/SUMIF(Workload!$A$5:$A$40,"Grounds",Workload!$G$5:$G$40)*Staffing!$J$5+Q243/SUMIF(Workload!$A$5:$A$40,"Ecology",Workload!$G$5:$G$40)*Staffing!$J$7</x:f>
        <x:v>116123.24374501249</x:v>
      </x:c>
      <x:c r="S243" s="8" t="n">
        <x:v>115</x:v>
      </x:c>
      <x:c r="T243" s="22" t="n">
        <x:v>0.05217391304347826</x:v>
      </x:c>
      <x:c r="U243" s="8" t="n">
        <x:v>2</x:v>
      </x:c>
      <x:c r="V243" s="8" t="n">
        <x:v>3</x:v>
      </x:c>
      <x:c r="W243" s="8" t="str">
        <x:v>https://parks.portlandciviclab.org/parks/raymond-park-561</x:v>
      </x:c>
    </x:row>
    <x:row r="244" ht="23" customHeight="1">
      <x:c r="A244" s="7" t="str">
        <x:v>562</x:v>
      </x:c>
      <x:c r="B244" s="7" t="str">
        <x:v>Red Tail Golf Course</x:v>
      </x:c>
      <x:c r="C244" s="7" t="str">
        <x:v>golf-raceway</x:v>
      </x:c>
      <x:c r="D244" s="7" t="str">
        <x:v>Unknown</x:v>
      </x:c>
      <x:c r="E244" s="19" t="n">
        <x:v>163.7556315</x:v>
      </x:c>
      <x:c r="F244" s="7" t="n">
        <x:v>0</x:v>
      </x:c>
      <x:c r="G244" s="7" t="n">
        <x:v>1</x:v>
      </x:c>
      <x:c r="H244" s="7" t="n">
        <x:v>0</x:v>
      </x:c>
      <x:c r="I244" s="7" t="n">
        <x:v>0</x:v>
      </x:c>
      <x:c r="J244" s="7" t="n">
        <x:v>0</x:v>
      </x:c>
      <x:c r="K244" s="7" t="n">
        <x:v>0</x:v>
      </x:c>
      <x:c r="L244" s="26" t="n">
        <x:f>F244*'Service inputs'!B72*'Service inputs'!C72</x:f>
        <x:v>0</x:v>
      </x:c>
      <x:c r="M244" s="26" t="n">
        <x:f>F244*E244*'Service inputs'!D72</x:f>
        <x:v>0</x:v>
      </x:c>
      <x:c r="N244" s="26" t="n">
        <x:f>F244*E244*'Service inputs'!E72</x:f>
        <x:v>0</x:v>
      </x:c>
      <x:c r="O244" s="26" t="n">
        <x:f>F244*E244*'Service inputs'!F72</x:f>
        <x:v>0</x:v>
      </x:c>
      <x:c r="P244" s="26" t="n">
        <x:f>L244+F244*G244*'Service inputs'!$B$17*'Service inputs'!$B$18*'Service inputs'!$B$19+M244*('Service inputs'!$B$20*'Service inputs'!$B$21+'Service inputs'!$B$22)+N244*'Service inputs'!$B$23+F244*(H244*'Service inputs'!$B$28*'Service inputs'!$B$29+I244*'Service inputs'!$B$24*'Service inputs'!$B$25+J244*'Service inputs'!$B$26*'Service inputs'!$B$27+K244*'Service inputs'!$B$30*'Service inputs'!$B$31)</x:f>
        <x:v>0</x:v>
      </x:c>
      <x:c r="Q244" s="26" t="n">
        <x:f>O244/SUM($O$5:$O$320)*SUMIF(Workload!$A$5:$A$40,"Ecology",Workload!$G$5:$G$40)</x:f>
        <x:v>0</x:v>
      </x:c>
      <x:c r="R244" s="27" t="n">
        <x:f>P244/SUMIF(Workload!$A$5:$A$40,"Grounds",Workload!$G$5:$G$40)*Staffing!$J$5+Q244/SUMIF(Workload!$A$5:$A$40,"Ecology",Workload!$G$5:$G$40)*Staffing!$J$7</x:f>
        <x:v>0</x:v>
      </x:c>
      <x:c r="S244" s="7" t="n">
        <x:v>8</x:v>
      </x:c>
      <x:c r="T244" s="23" t="n">
        <x:v>0.625</x:v>
      </x:c>
      <x:c r="U244" s="7" t="n">
        <x:v>0</x:v>
      </x:c>
      <x:c r="V244" s="7" t="n">
        <x:v>0</x:v>
      </x:c>
      <x:c r="W244" s="7" t="str">
        <x:v>https://parks.portlandciviclab.org/parks/red-tail-golf-course-562</x:v>
      </x:c>
    </x:row>
    <x:row r="245" ht="23" customHeight="1">
      <x:c r="A245" s="8" t="str">
        <x:v>565</x:v>
      </x:c>
      <x:c r="B245" s="8" t="str">
        <x:v>Richmond Property</x:v>
      </x:c>
      <x:c r="C245" s="8" t="str">
        <x:v>developed-park</x:v>
      </x:c>
      <x:c r="D245" s="8" t="str">
        <x:v>District 3</x:v>
      </x:c>
      <x:c r="E245" s="18" t="n">
        <x:v>0.3024869</x:v>
      </x:c>
      <x:c r="F245" s="8" t="n">
        <x:v>1</x:v>
      </x:c>
      <x:c r="G245" s="8" t="n">
        <x:v>0</x:v>
      </x:c>
      <x:c r="H245" s="8" t="n">
        <x:v>1</x:v>
      </x:c>
      <x:c r="I245" s="8" t="n">
        <x:v>0</x:v>
      </x:c>
      <x:c r="J245" s="8" t="n">
        <x:v>0</x:v>
      </x:c>
      <x:c r="K245" s="8" t="n">
        <x:v>0</x:v>
      </x:c>
      <x:c r="L245" s="24" t="n">
        <x:f>F245*'Service inputs'!B65*'Service inputs'!C65</x:f>
        <x:v>547.5</x:v>
      </x:c>
      <x:c r="M245" s="24" t="n">
        <x:f>F245*E245*'Service inputs'!D65</x:f>
        <x:v>0.166367795</x:v>
      </x:c>
      <x:c r="N245" s="24" t="n">
        <x:f>F245*E245*'Service inputs'!E65</x:f>
        <x:v>0.015124345</x:v>
      </x:c>
      <x:c r="O245" s="24" t="n">
        <x:f>F245*E245*'Service inputs'!F65</x:f>
        <x:v>0.075621725</x:v>
      </x:c>
      <x:c r="P245" s="24" t="n">
        <x:f>L245+F245*G245*'Service inputs'!$B$17*'Service inputs'!$B$18*'Service inputs'!$B$19+M245*('Service inputs'!$B$20*'Service inputs'!$B$21+'Service inputs'!$B$22)+N245*'Service inputs'!$B$23+F245*(H245*'Service inputs'!$B$28*'Service inputs'!$B$29+I245*'Service inputs'!$B$24*'Service inputs'!$B$25+J245*'Service inputs'!$B$26*'Service inputs'!$B$27+K245*'Service inputs'!$B$30*'Service inputs'!$B$31)</x:f>
        <x:v>592.1413806850001</x:v>
      </x:c>
      <x:c r="Q245" s="24" t="n">
        <x:f>O245/SUM($O$5:$O$320)*SUMIF(Workload!$A$5:$A$40,"Ecology",Workload!$G$5:$G$40)</x:f>
        <x:v>0.793854844268375</x:v>
      </x:c>
      <x:c r="R245" s="25" t="n">
        <x:f>P245/SUMIF(Workload!$A$5:$A$40,"Grounds",Workload!$G$5:$G$40)*Staffing!$J$5+Q245/SUMIF(Workload!$A$5:$A$40,"Ecology",Workload!$G$5:$G$40)*Staffing!$J$7</x:f>
        <x:v>60273.488626596285</x:v>
      </x:c>
      <x:c r="S245" s="8" t="n">
        <x:v>9</x:v>
      </x:c>
      <x:c r="T245" s="22" t="n">
        <x:v>0</x:v>
      </x:c>
      <x:c r="U245" s="8" t="n">
        <x:v>0</x:v>
      </x:c>
      <x:c r="V245" s="8" t="n">
        <x:v>0</x:v>
      </x:c>
      <x:c r="W245" s="8" t="str">
        <x:v>https://parks.portlandciviclab.org/parks/richmond-property-565</x:v>
      </x:c>
    </x:row>
    <x:row r="246" ht="23" customHeight="1">
      <x:c r="A246" s="7" t="str">
        <x:v>1261</x:v>
      </x:c>
      <x:c r="B246" s="7" t="str">
        <x:v>Rigler Community Garden</x:v>
      </x:c>
      <x:c r="C246" s="7" t="str">
        <x:v>community-garden</x:v>
      </x:c>
      <x:c r="D246" s="7" t="str">
        <x:v>District 2</x:v>
      </x:c>
      <x:c r="E246" s="19" t="n">
        <x:v>0.37413747</x:v>
      </x:c>
      <x:c r="F246" s="7" t="n">
        <x:v>1</x:v>
      </x:c>
      <x:c r="G246" s="7" t="n">
        <x:v>0</x:v>
      </x:c>
      <x:c r="H246" s="7" t="n">
        <x:v>0</x:v>
      </x:c>
      <x:c r="I246" s="7" t="n">
        <x:v>0</x:v>
      </x:c>
      <x:c r="J246" s="7" t="n">
        <x:v>0</x:v>
      </x:c>
      <x:c r="K246" s="7" t="n">
        <x:v>0</x:v>
      </x:c>
      <x:c r="L246" s="26" t="n">
        <x:f>F246*'Service inputs'!B67*'Service inputs'!C67</x:f>
        <x:v>52</x:v>
      </x:c>
      <x:c r="M246" s="26" t="n">
        <x:f>F246*E246*'Service inputs'!D67</x:f>
        <x:v>0.018706873500000002</x:v>
      </x:c>
      <x:c r="N246" s="26" t="n">
        <x:f>F246*E246*'Service inputs'!E67</x:f>
        <x:v>0.037413747000000004</x:v>
      </x:c>
      <x:c r="O246" s="26" t="n">
        <x:f>F246*E246*'Service inputs'!F67</x:f>
        <x:v>0</x:v>
      </x:c>
      <x:c r="P246" s="26" t="n">
        <x:f>L246+F246*G246*'Service inputs'!$B$17*'Service inputs'!$B$18*'Service inputs'!$B$19+M246*('Service inputs'!$B$20*'Service inputs'!$B$21+'Service inputs'!$B$22)+N246*'Service inputs'!$B$23+F246*(H246*'Service inputs'!$B$28*'Service inputs'!$B$29+I246*'Service inputs'!$B$24*'Service inputs'!$B$25+J246*'Service inputs'!$B$26*'Service inputs'!$B$27+K246*'Service inputs'!$B$30*'Service inputs'!$B$31)</x:f>
        <x:v>56.9199077305</x:v>
      </x:c>
      <x:c r="Q246" s="26" t="n">
        <x:f>O246/SUM($O$5:$O$320)*SUMIF(Workload!$A$5:$A$40,"Ecology",Workload!$G$5:$G$40)</x:f>
        <x:v>0</x:v>
      </x:c>
      <x:c r="R246" s="27" t="n">
        <x:f>P246/SUMIF(Workload!$A$5:$A$40,"Grounds",Workload!$G$5:$G$40)*Staffing!$J$5+Q246/SUMIF(Workload!$A$5:$A$40,"Ecology",Workload!$G$5:$G$40)*Staffing!$J$7</x:f>
        <x:v>5784.989789157419</x:v>
      </x:c>
      <x:c r="S246" s="7" t="n">
        <x:v>12</x:v>
      </x:c>
      <x:c r="T246" s="23" t="n">
        <x:v>0</x:v>
      </x:c>
      <x:c r="U246" s="7" t="n">
        <x:v>0</x:v>
      </x:c>
      <x:c r="V246" s="7" t="n">
        <x:v>1</x:v>
      </x:c>
      <x:c r="W246" s="7" t="str">
        <x:v>https://parks.portlandciviclab.org/parks/rigler-community-garden-1261</x:v>
      </x:c>
    </x:row>
    <x:row r="247" ht="23" customHeight="1">
      <x:c r="A247" s="8" t="str">
        <x:v>1427</x:v>
      </x:c>
      <x:c r="B247" s="8" t="str">
        <x:v>River View Natural Area</x:v>
      </x:c>
      <x:c r="C247" s="8" t="str">
        <x:v>natural-area</x:v>
      </x:c>
      <x:c r="D247" s="8" t="str">
        <x:v>District 4</x:v>
      </x:c>
      <x:c r="E247" s="18" t="n">
        <x:v>146.06173699</x:v>
      </x:c>
      <x:c r="F247" s="8" t="n">
        <x:v>1</x:v>
      </x:c>
      <x:c r="G247" s="8" t="n">
        <x:v>0</x:v>
      </x:c>
      <x:c r="H247" s="8" t="n">
        <x:v>0</x:v>
      </x:c>
      <x:c r="I247" s="8" t="n">
        <x:v>0</x:v>
      </x:c>
      <x:c r="J247" s="8" t="n">
        <x:v>0</x:v>
      </x:c>
      <x:c r="K247" s="8" t="n">
        <x:v>0</x:v>
      </x:c>
      <x:c r="L247" s="24" t="n">
        <x:f>F247*'Service inputs'!B66*'Service inputs'!C66</x:f>
        <x:v>78</x:v>
      </x:c>
      <x:c r="M247" s="24" t="n">
        <x:f>F247*E247*'Service inputs'!D66</x:f>
        <x:v>0.7303086849500001</x:v>
      </x:c>
      <x:c r="N247" s="24" t="n">
        <x:f>F247*E247*'Service inputs'!E66</x:f>
        <x:v>0</x:v>
      </x:c>
      <x:c r="O247" s="24" t="n">
        <x:f>F247*E247*'Service inputs'!F66</x:f>
        <x:v>144.6011196201</x:v>
      </x:c>
      <x:c r="P247" s="24" t="n">
        <x:f>L247+F247*G247*'Service inputs'!$B$17*'Service inputs'!$B$18*'Service inputs'!$B$19+M247*('Service inputs'!$B$20*'Service inputs'!$B$21+'Service inputs'!$B$22)+N247*'Service inputs'!$B$23+F247*(H247*'Service inputs'!$B$28*'Service inputs'!$B$29+I247*'Service inputs'!$B$24*'Service inputs'!$B$25+J247*'Service inputs'!$B$26*'Service inputs'!$B$27+K247*'Service inputs'!$B$30*'Service inputs'!$B$31)</x:f>
        <x:v>94.79709975385</x:v>
      </x:c>
      <x:c r="Q247" s="24" t="n">
        <x:f>O247/SUM($O$5:$O$320)*SUMIF(Workload!$A$5:$A$40,"Ecology",Workload!$G$5:$G$40)</x:f>
        <x:v>1517.980438783262</x:v>
      </x:c>
      <x:c r="R247" s="25" t="n">
        <x:f>P247/SUMIF(Workload!$A$5:$A$40,"Grounds",Workload!$G$5:$G$40)*Staffing!$J$5+Q247/SUMIF(Workload!$A$5:$A$40,"Ecology",Workload!$G$5:$G$40)*Staffing!$J$7</x:f>
        <x:v>185316.44139892975</x:v>
      </x:c>
      <x:c r="S247" s="8" t="n">
        <x:v>0</x:v>
      </x:c>
      <x:c r="T247" s="22" t="n">
        <x:v>0</x:v>
      </x:c>
      <x:c r="U247" s="8" t="n">
        <x:v>0</x:v>
      </x:c>
      <x:c r="V247" s="8" t="n">
        <x:v>0</x:v>
      </x:c>
      <x:c r="W247" s="8" t="str">
        <x:v>https://parks.portlandciviclab.org/parks/river-view-natural-area-1427</x:v>
      </x:c>
    </x:row>
    <x:row r="248" ht="23" customHeight="1">
      <x:c r="A248" s="7" t="str">
        <x:v>568</x:v>
      </x:c>
      <x:c r="B248" s="7" t="str">
        <x:v>Rocky Butte Natural Area</x:v>
      </x:c>
      <x:c r="C248" s="7" t="str">
        <x:v>natural-area</x:v>
      </x:c>
      <x:c r="D248" s="7" t="str">
        <x:v>District 3</x:v>
      </x:c>
      <x:c r="E248" s="19" t="n">
        <x:v>19.63524357</x:v>
      </x:c>
      <x:c r="F248" s="7" t="n">
        <x:v>1</x:v>
      </x:c>
      <x:c r="G248" s="7" t="n">
        <x:v>0</x:v>
      </x:c>
      <x:c r="H248" s="7" t="n">
        <x:v>0</x:v>
      </x:c>
      <x:c r="I248" s="7" t="n">
        <x:v>0</x:v>
      </x:c>
      <x:c r="J248" s="7" t="n">
        <x:v>0</x:v>
      </x:c>
      <x:c r="K248" s="7" t="n">
        <x:v>0</x:v>
      </x:c>
      <x:c r="L248" s="26" t="n">
        <x:f>F248*'Service inputs'!B66*'Service inputs'!C66</x:f>
        <x:v>78</x:v>
      </x:c>
      <x:c r="M248" s="26" t="n">
        <x:f>F248*E248*'Service inputs'!D66</x:f>
        <x:v>0.09817621785</x:v>
      </x:c>
      <x:c r="N248" s="26" t="n">
        <x:f>F248*E248*'Service inputs'!E66</x:f>
        <x:v>0</x:v>
      </x:c>
      <x:c r="O248" s="26" t="n">
        <x:f>F248*E248*'Service inputs'!F66</x:f>
        <x:v>19.4388911343</x:v>
      </x:c>
      <x:c r="P248" s="26" t="n">
        <x:f>L248+F248*G248*'Service inputs'!$B$17*'Service inputs'!$B$18*'Service inputs'!$B$19+M248*('Service inputs'!$B$20*'Service inputs'!$B$21+'Service inputs'!$B$22)+N248*'Service inputs'!$B$23+F248*(H248*'Service inputs'!$B$28*'Service inputs'!$B$29+I248*'Service inputs'!$B$24*'Service inputs'!$B$25+J248*'Service inputs'!$B$26*'Service inputs'!$B$27+K248*'Service inputs'!$B$30*'Service inputs'!$B$31)</x:f>
        <x:v>80.25805301055</x:v>
      </x:c>
      <x:c r="Q248" s="26" t="n">
        <x:f>O248/SUM($O$5:$O$320)*SUMIF(Workload!$A$5:$A$40,"Ecology",Workload!$G$5:$G$40)</x:f>
        <x:v>204.0638175626068</x:v>
      </x:c>
      <x:c r="R248" s="27" t="n">
        <x:f>P248/SUMIF(Workload!$A$5:$A$40,"Grounds",Workload!$G$5:$G$40)*Staffing!$J$5+Q248/SUMIF(Workload!$A$5:$A$40,"Ecology",Workload!$G$5:$G$40)*Staffing!$J$7</x:f>
        <x:v>31774.043719905087</x:v>
      </x:c>
      <x:c r="S248" s="7" t="n">
        <x:v>2</x:v>
      </x:c>
      <x:c r="T248" s="23" t="n">
        <x:v>1</x:v>
      </x:c>
      <x:c r="U248" s="7" t="n">
        <x:v>0</x:v>
      </x:c>
      <x:c r="V248" s="7" t="n">
        <x:v>0</x:v>
      </x:c>
      <x:c r="W248" s="7" t="str">
        <x:v>https://parks.portlandciviclab.org/parks/rocky-butte-natural-area-568</x:v>
      </x:c>
    </x:row>
    <x:row r="249" ht="23" customHeight="1">
      <x:c r="A249" s="8" t="str">
        <x:v>570</x:v>
      </x:c>
      <x:c r="B249" s="8" t="str">
        <x:v>Rose City Golf Course</x:v>
      </x:c>
      <x:c r="C249" s="8" t="str">
        <x:v>golf-raceway</x:v>
      </x:c>
      <x:c r="D249" s="8" t="str">
        <x:v>District 3</x:v>
      </x:c>
      <x:c r="E249" s="18" t="n">
        <x:v>144.26744704</x:v>
      </x:c>
      <x:c r="F249" s="8" t="n">
        <x:v>0</x:v>
      </x:c>
      <x:c r="G249" s="8" t="n">
        <x:v>1</x:v>
      </x:c>
      <x:c r="H249" s="8" t="n">
        <x:v>0</x:v>
      </x:c>
      <x:c r="I249" s="8" t="n">
        <x:v>0</x:v>
      </x:c>
      <x:c r="J249" s="8" t="n">
        <x:v>0</x:v>
      </x:c>
      <x:c r="K249" s="8" t="n">
        <x:v>0</x:v>
      </x:c>
      <x:c r="L249" s="24" t="n">
        <x:f>F249*'Service inputs'!B72*'Service inputs'!C72</x:f>
        <x:v>0</x:v>
      </x:c>
      <x:c r="M249" s="24" t="n">
        <x:f>F249*E249*'Service inputs'!D72</x:f>
        <x:v>0</x:v>
      </x:c>
      <x:c r="N249" s="24" t="n">
        <x:f>F249*E249*'Service inputs'!E72</x:f>
        <x:v>0</x:v>
      </x:c>
      <x:c r="O249" s="24" t="n">
        <x:f>F249*E249*'Service inputs'!F72</x:f>
        <x:v>0</x:v>
      </x:c>
      <x:c r="P249" s="24" t="n">
        <x:f>L249+F249*G249*'Service inputs'!$B$17*'Service inputs'!$B$18*'Service inputs'!$B$19+M249*('Service inputs'!$B$20*'Service inputs'!$B$21+'Service inputs'!$B$22)+N249*'Service inputs'!$B$23+F249*(H249*'Service inputs'!$B$28*'Service inputs'!$B$29+I249*'Service inputs'!$B$24*'Service inputs'!$B$25+J249*'Service inputs'!$B$26*'Service inputs'!$B$27+K249*'Service inputs'!$B$30*'Service inputs'!$B$31)</x:f>
        <x:v>0</x:v>
      </x:c>
      <x:c r="Q249" s="24" t="n">
        <x:f>O249/SUM($O$5:$O$320)*SUMIF(Workload!$A$5:$A$40,"Ecology",Workload!$G$5:$G$40)</x:f>
        <x:v>0</x:v>
      </x:c>
      <x:c r="R249" s="25" t="n">
        <x:f>P249/SUMIF(Workload!$A$5:$A$40,"Grounds",Workload!$G$5:$G$40)*Staffing!$J$5+Q249/SUMIF(Workload!$A$5:$A$40,"Ecology",Workload!$G$5:$G$40)*Staffing!$J$7</x:f>
        <x:v>0</x:v>
      </x:c>
      <x:c r="S249" s="8" t="n">
        <x:v>12</x:v>
      </x:c>
      <x:c r="T249" s="22" t="n">
        <x:v>0.5833333333333334</x:v>
      </x:c>
      <x:c r="U249" s="8" t="n">
        <x:v>0</x:v>
      </x:c>
      <x:c r="V249" s="8" t="n">
        <x:v>1</x:v>
      </x:c>
      <x:c r="W249" s="8" t="str">
        <x:v>https://parks.portlandciviclab.org/parks/rose-city-golf-course-570</x:v>
      </x:c>
    </x:row>
    <x:row r="250" ht="23" customHeight="1">
      <x:c r="A250" s="7" t="str">
        <x:v>573</x:v>
      </x:c>
      <x:c r="B250" s="7" t="str">
        <x:v>Rose City Park</x:v>
      </x:c>
      <x:c r="C250" s="7" t="str">
        <x:v>developed-park</x:v>
      </x:c>
      <x:c r="D250" s="7" t="str">
        <x:v>District 3</x:v>
      </x:c>
      <x:c r="E250" s="19" t="n">
        <x:v>8.41060562</x:v>
      </x:c>
      <x:c r="F250" s="7" t="n">
        <x:v>1</x:v>
      </x:c>
      <x:c r="G250" s="7" t="n">
        <x:v>1</x:v>
      </x:c>
      <x:c r="H250" s="7" t="n">
        <x:v>1</x:v>
      </x:c>
      <x:c r="I250" s="7" t="n">
        <x:v>3</x:v>
      </x:c>
      <x:c r="J250" s="7" t="n">
        <x:v>2</x:v>
      </x:c>
      <x:c r="K250" s="7" t="n">
        <x:v>0</x:v>
      </x:c>
      <x:c r="L250" s="26" t="n">
        <x:f>F250*'Service inputs'!B65*'Service inputs'!C65</x:f>
        <x:v>547.5</x:v>
      </x:c>
      <x:c r="M250" s="26" t="n">
        <x:f>F250*E250*'Service inputs'!D65</x:f>
        <x:v>4.6258330910000005</x:v>
      </x:c>
      <x:c r="N250" s="26" t="n">
        <x:f>F250*E250*'Service inputs'!E65</x:f>
        <x:v>0.420530281</x:v>
      </x:c>
      <x:c r="O250" s="26" t="n">
        <x:f>F250*E250*'Service inputs'!F65</x:f>
        <x:v>2.102651405</x:v>
      </x:c>
      <x:c r="P250" s="26" t="n">
        <x:f>L250+F250*G250*'Service inputs'!$B$17*'Service inputs'!$B$18*'Service inputs'!$B$19+M250*('Service inputs'!$B$20*'Service inputs'!$B$21+'Service inputs'!$B$22)+N250*'Service inputs'!$B$23+F250*(H250*'Service inputs'!$B$28*'Service inputs'!$B$29+I250*'Service inputs'!$B$24*'Service inputs'!$B$25+J250*'Service inputs'!$B$26*'Service inputs'!$B$27+K250*'Service inputs'!$B$30*'Service inputs'!$B$31)</x:f>
        <x:v>1416.107794813</x:v>
      </x:c>
      <x:c r="Q250" s="26" t="n">
        <x:f>O250/SUM($O$5:$O$320)*SUMIF(Workload!$A$5:$A$40,"Ecology",Workload!$G$5:$G$40)</x:f>
        <x:v>22.073022053741237</x:v>
      </x:c>
      <x:c r="R250" s="27" t="n">
        <x:f>P250/SUMIF(Workload!$A$5:$A$40,"Grounds",Workload!$G$5:$G$40)*Staffing!$J$5+Q250/SUMIF(Workload!$A$5:$A$40,"Ecology",Workload!$G$5:$G$40)*Staffing!$J$7</x:f>
        <x:v>146479.09542857207</x:v>
      </x:c>
      <x:c r="S250" s="7" t="n">
        <x:v>71</x:v>
      </x:c>
      <x:c r="T250" s="23" t="n">
        <x:v>0.2535211267605634</x:v>
      </x:c>
      <x:c r="U250" s="7" t="n">
        <x:v>4</x:v>
      </x:c>
      <x:c r="V250" s="7" t="n">
        <x:v>2</x:v>
      </x:c>
      <x:c r="W250" s="7" t="str">
        <x:v>https://parks.portlandciviclab.org/parks/rose-city-park-573</x:v>
      </x:c>
    </x:row>
    <x:row r="251" ht="23" customHeight="1">
      <x:c r="A251" s="8" t="str">
        <x:v>574</x:v>
      </x:c>
      <x:c r="B251" s="8" t="str">
        <x:v>Roselawn Park</x:v>
      </x:c>
      <x:c r="C251" s="8" t="str">
        <x:v>uncertain</x:v>
      </x:c>
      <x:c r="D251" s="8" t="str">
        <x:v>District 2</x:v>
      </x:c>
      <x:c r="E251" s="18" t="n">
        <x:v>0.11979488</x:v>
      </x:c>
      <x:c r="F251" s="8" t="n">
        <x:v>1</x:v>
      </x:c>
      <x:c r="G251" s="8" t="n">
        <x:v>0</x:v>
      </x:c>
      <x:c r="H251" s="8" t="n">
        <x:v>0</x:v>
      </x:c>
      <x:c r="I251" s="8" t="n">
        <x:v>0</x:v>
      </x:c>
      <x:c r="J251" s="8" t="n">
        <x:v>0</x:v>
      </x:c>
      <x:c r="K251" s="8" t="n">
        <x:v>0</x:v>
      </x:c>
      <x:c r="L251" s="24" t="n">
        <x:f>F251*'Service inputs'!B74*'Service inputs'!C74</x:f>
        <x:v>52</x:v>
      </x:c>
      <x:c r="M251" s="24" t="n">
        <x:f>F251*E251*'Service inputs'!D74</x:f>
        <x:v>0.011979488000000002</x:v>
      </x:c>
      <x:c r="N251" s="24" t="n">
        <x:f>F251*E251*'Service inputs'!E74</x:f>
        <x:v>0.0023958976000000003</x:v>
      </x:c>
      <x:c r="O251" s="24" t="n">
        <x:f>F251*E251*'Service inputs'!F74</x:f>
        <x:v>0.05989744</x:v>
      </x:c>
      <x:c r="P251" s="24" t="n">
        <x:f>L251+F251*G251*'Service inputs'!$B$17*'Service inputs'!$B$18*'Service inputs'!$B$19+M251*('Service inputs'!$B$20*'Service inputs'!$B$21+'Service inputs'!$B$22)+N251*'Service inputs'!$B$23+F251*(H251*'Service inputs'!$B$28*'Service inputs'!$B$29+I251*'Service inputs'!$B$24*'Service inputs'!$B$25+J251*'Service inputs'!$B$26*'Service inputs'!$B$27+K251*'Service inputs'!$B$30*'Service inputs'!$B$31)</x:f>
        <x:v>52.563035936</x:v>
      </x:c>
      <x:c r="Q251" s="24" t="n">
        <x:f>O251/SUM($O$5:$O$320)*SUMIF(Workload!$A$5:$A$40,"Ecology",Workload!$G$5:$G$40)</x:f>
        <x:v>0.6287858800268619</x:v>
      </x:c>
      <x:c r="R251" s="25" t="n">
        <x:f>P251/SUMIF(Workload!$A$5:$A$40,"Grounds",Workload!$G$5:$G$40)*Staffing!$J$5+Q251/SUMIF(Workload!$A$5:$A$40,"Ecology",Workload!$G$5:$G$40)*Staffing!$J$7</x:f>
        <x:v>5414.955965147685</x:v>
      </x:c>
      <x:c r="S251" s="8" t="n">
        <x:v>5</x:v>
      </x:c>
      <x:c r="T251" s="22" t="n">
        <x:v>0.4</x:v>
      </x:c>
      <x:c r="U251" s="8" t="n">
        <x:v>0</x:v>
      </x:c>
      <x:c r="V251" s="8" t="n">
        <x:v>0</x:v>
      </x:c>
      <x:c r="W251" s="8" t="str">
        <x:v>https://parks.portlandciviclab.org/parks/roselawn-park-574</x:v>
      </x:c>
    </x:row>
    <x:row r="252" ht="23" customHeight="1">
      <x:c r="A252" s="7" t="str">
        <x:v>575</x:v>
      </x:c>
      <x:c r="B252" s="7" t="str">
        <x:v>Rosemont Bluff Natural Area</x:v>
      </x:c>
      <x:c r="C252" s="7" t="str">
        <x:v>natural-area</x:v>
      </x:c>
      <x:c r="D252" s="7" t="str">
        <x:v>District 3</x:v>
      </x:c>
      <x:c r="E252" s="19" t="n">
        <x:v>2.16167166</x:v>
      </x:c>
      <x:c r="F252" s="7" t="n">
        <x:v>1</x:v>
      </x:c>
      <x:c r="G252" s="7" t="n">
        <x:v>0</x:v>
      </x:c>
      <x:c r="H252" s="7" t="n">
        <x:v>0</x:v>
      </x:c>
      <x:c r="I252" s="7" t="n">
        <x:v>0</x:v>
      </x:c>
      <x:c r="J252" s="7" t="n">
        <x:v>0</x:v>
      </x:c>
      <x:c r="K252" s="7" t="n">
        <x:v>0</x:v>
      </x:c>
      <x:c r="L252" s="26" t="n">
        <x:f>F252*'Service inputs'!B66*'Service inputs'!C66</x:f>
        <x:v>78</x:v>
      </x:c>
      <x:c r="M252" s="26" t="n">
        <x:f>F252*E252*'Service inputs'!D66</x:f>
        <x:v>0.010808358300000001</x:v>
      </x:c>
      <x:c r="N252" s="26" t="n">
        <x:f>F252*E252*'Service inputs'!E66</x:f>
        <x:v>0</x:v>
      </x:c>
      <x:c r="O252" s="26" t="n">
        <x:f>F252*E252*'Service inputs'!F66</x:f>
        <x:v>2.1400549434</x:v>
      </x:c>
      <x:c r="P252" s="26" t="n">
        <x:f>L252+F252*G252*'Service inputs'!$B$17*'Service inputs'!$B$18*'Service inputs'!$B$19+M252*('Service inputs'!$B$20*'Service inputs'!$B$21+'Service inputs'!$B$22)+N252*'Service inputs'!$B$23+F252*(H252*'Service inputs'!$B$28*'Service inputs'!$B$29+I252*'Service inputs'!$B$24*'Service inputs'!$B$25+J252*'Service inputs'!$B$26*'Service inputs'!$B$27+K252*'Service inputs'!$B$30*'Service inputs'!$B$31)</x:f>
        <x:v>78.2485922409</x:v>
      </x:c>
      <x:c r="Q252" s="26" t="n">
        <x:f>O252/SUM($O$5:$O$320)*SUMIF(Workload!$A$5:$A$40,"Ecology",Workload!$G$5:$G$40)</x:f>
        <x:v>22.465673506106523</x:v>
      </x:c>
      <x:c r="R252" s="27" t="n">
        <x:f>P252/SUMIF(Workload!$A$5:$A$40,"Grounds",Workload!$G$5:$G$40)*Staffing!$J$5+Q252/SUMIF(Workload!$A$5:$A$40,"Ecology",Workload!$G$5:$G$40)*Staffing!$J$7</x:f>
        <x:v>10552.747024082722</x:v>
      </x:c>
      <x:c r="S252" s="7" t="n">
        <x:v>0</x:v>
      </x:c>
      <x:c r="T252" s="23" t="n">
        <x:v>0</x:v>
      </x:c>
      <x:c r="U252" s="7" t="n">
        <x:v>0</x:v>
      </x:c>
      <x:c r="V252" s="7" t="n">
        <x:v>0</x:v>
      </x:c>
      <x:c r="W252" s="7" t="str">
        <x:v>https://parks.portlandciviclab.org/parks/rosemont-bluff-natural-area-575</x:v>
      </x:c>
    </x:row>
    <x:row r="253" ht="23" customHeight="1">
      <x:c r="A253" s="8" t="str">
        <x:v>1332</x:v>
      </x:c>
      <x:c r="B253" s="8" t="str">
        <x:v>Ross Island Natural Area</x:v>
      </x:c>
      <x:c r="C253" s="8" t="str">
        <x:v>natural-area</x:v>
      </x:c>
      <x:c r="D253" s="8" t="str">
        <x:v>District 4</x:v>
      </x:c>
      <x:c r="E253" s="18" t="n">
        <x:v>34.28398903</x:v>
      </x:c>
      <x:c r="F253" s="8" t="n">
        <x:v>1</x:v>
      </x:c>
      <x:c r="G253" s="8" t="n">
        <x:v>0</x:v>
      </x:c>
      <x:c r="H253" s="8" t="n">
        <x:v>0</x:v>
      </x:c>
      <x:c r="I253" s="8" t="n">
        <x:v>0</x:v>
      </x:c>
      <x:c r="J253" s="8" t="n">
        <x:v>0</x:v>
      </x:c>
      <x:c r="K253" s="8" t="n">
        <x:v>0</x:v>
      </x:c>
      <x:c r="L253" s="24" t="n">
        <x:f>F253*'Service inputs'!B66*'Service inputs'!C66</x:f>
        <x:v>78</x:v>
      </x:c>
      <x:c r="M253" s="24" t="n">
        <x:f>F253*E253*'Service inputs'!D66</x:f>
        <x:v>0.17141994515</x:v>
      </x:c>
      <x:c r="N253" s="24" t="n">
        <x:f>F253*E253*'Service inputs'!E66</x:f>
        <x:v>0</x:v>
      </x:c>
      <x:c r="O253" s="24" t="n">
        <x:f>F253*E253*'Service inputs'!F66</x:f>
        <x:v>33.9411491397</x:v>
      </x:c>
      <x:c r="P253" s="24" t="n">
        <x:f>L253+F253*G253*'Service inputs'!$B$17*'Service inputs'!$B$18*'Service inputs'!$B$19+M253*('Service inputs'!$B$20*'Service inputs'!$B$21+'Service inputs'!$B$22)+N253*'Service inputs'!$B$23+F253*(H253*'Service inputs'!$B$28*'Service inputs'!$B$29+I253*'Service inputs'!$B$24*'Service inputs'!$B$25+J253*'Service inputs'!$B$26*'Service inputs'!$B$27+K253*'Service inputs'!$B$30*'Service inputs'!$B$31)</x:f>
        <x:v>81.94265873845</x:v>
      </x:c>
      <x:c r="Q253" s="24" t="n">
        <x:f>O253/SUM($O$5:$O$320)*SUMIF(Workload!$A$5:$A$40,"Ecology",Workload!$G$5:$G$40)</x:f>
        <x:v>356.30429832943156</x:v>
      </x:c>
      <x:c r="R253" s="25" t="n">
        <x:f>P253/SUMIF(Workload!$A$5:$A$40,"Grounds",Workload!$G$5:$G$40)*Staffing!$J$5+Q253/SUMIF(Workload!$A$5:$A$40,"Ecology",Workload!$G$5:$G$40)*Staffing!$J$7</x:f>
        <x:v>49564.646307023235</x:v>
      </x:c>
      <x:c r="S253" s="8" t="n">
        <x:v>0</x:v>
      </x:c>
      <x:c r="T253" s="22" t="n">
        <x:v>0</x:v>
      </x:c>
      <x:c r="U253" s="8" t="n">
        <x:v>0</x:v>
      </x:c>
      <x:c r="V253" s="8" t="n">
        <x:v>0</x:v>
      </x:c>
      <x:c r="W253" s="8" t="str">
        <x:v>https://parks.portlandciviclab.org/parks/ross-island-natural-area-1332</x:v>
      </x:c>
    </x:row>
    <x:row r="254" ht="23" customHeight="1">
      <x:c r="A254" s="7" t="str">
        <x:v>915</x:v>
      </x:c>
      <x:c r="B254" s="7" t="str">
        <x:v>Ross, Vernon Veterans Memorial</x:v>
      </x:c>
      <x:c r="C254" s="7" t="str">
        <x:v>plaza-memorial</x:v>
      </x:c>
      <x:c r="D254" s="7" t="str">
        <x:v>District 3</x:v>
      </x:c>
      <x:c r="E254" s="19" t="n">
        <x:v>0.00109808</x:v>
      </x:c>
      <x:c r="F254" s="7" t="n">
        <x:v>1</x:v>
      </x:c>
      <x:c r="G254" s="7" t="n">
        <x:v>0</x:v>
      </x:c>
      <x:c r="H254" s="7" t="n">
        <x:v>0</x:v>
      </x:c>
      <x:c r="I254" s="7" t="n">
        <x:v>0</x:v>
      </x:c>
      <x:c r="J254" s="7" t="n">
        <x:v>0</x:v>
      </x:c>
      <x:c r="K254" s="7" t="n">
        <x:v>0</x:v>
      </x:c>
      <x:c r="L254" s="26" t="n">
        <x:f>F254*'Service inputs'!B68*'Service inputs'!C68</x:f>
        <x:v>730</x:v>
      </x:c>
      <x:c r="M254" s="26" t="n">
        <x:f>F254*E254*'Service inputs'!D68</x:f>
        <x:v>0</x:v>
      </x:c>
      <x:c r="N254" s="26" t="n">
        <x:f>F254*E254*'Service inputs'!E68</x:f>
        <x:v>0.000109808</x:v>
      </x:c>
      <x:c r="O254" s="26" t="n">
        <x:f>F254*E254*'Service inputs'!F68</x:f>
        <x:v>0</x:v>
      </x:c>
      <x:c r="P254" s="26" t="n">
        <x:f>L254+F254*G254*'Service inputs'!$B$17*'Service inputs'!$B$18*'Service inputs'!$B$19+M254*('Service inputs'!$B$20*'Service inputs'!$B$21+'Service inputs'!$B$22)+N254*'Service inputs'!$B$23+F254*(H254*'Service inputs'!$B$28*'Service inputs'!$B$29+I254*'Service inputs'!$B$24*'Service inputs'!$B$25+J254*'Service inputs'!$B$26*'Service inputs'!$B$27+K254*'Service inputs'!$B$30*'Service inputs'!$B$31)</x:f>
        <x:v>730.01317696</x:v>
      </x:c>
      <x:c r="Q254" s="26" t="n">
        <x:f>O254/SUM($O$5:$O$320)*SUMIF(Workload!$A$5:$A$40,"Ecology",Workload!$G$5:$G$40)</x:f>
        <x:v>0</x:v>
      </x:c>
      <x:c r="R254" s="27" t="n">
        <x:f>P254/SUMIF(Workload!$A$5:$A$40,"Grounds",Workload!$G$5:$G$40)*Staffing!$J$5+Q254/SUMIF(Workload!$A$5:$A$40,"Ecology",Workload!$G$5:$G$40)*Staffing!$J$7</x:f>
        <x:v>74194.05517414515</x:v>
      </x:c>
      <x:c r="S254" s="7" t="n">
        <x:v>0</x:v>
      </x:c>
      <x:c r="T254" s="23" t="n">
        <x:v>0</x:v>
      </x:c>
      <x:c r="U254" s="7" t="n">
        <x:v>0</x:v>
      </x:c>
      <x:c r="V254" s="7" t="n">
        <x:v>0</x:v>
      </x:c>
      <x:c r="W254" s="7" t="str">
        <x:v>https://parks.portlandciviclab.org/parks/ross-vernon-veterans-memorial-915</x:v>
      </x:c>
    </x:row>
    <x:row r="255" ht="23" customHeight="1">
      <x:c r="A255" s="8" t="str">
        <x:v>1479</x:v>
      </x:c>
      <x:c r="B255" s="8" t="str">
        <x:v>SE Division St and SE 150th Ave Property</x:v>
      </x:c>
      <x:c r="C255" s="8" t="str">
        <x:v>uncertain</x:v>
      </x:c>
      <x:c r="D255" s="8" t="str">
        <x:v>District 1</x:v>
      </x:c>
      <x:c r="E255" s="18" t="n">
        <x:v>7.43259074</x:v>
      </x:c>
      <x:c r="F255" s="8" t="n">
        <x:v>1</x:v>
      </x:c>
      <x:c r="G255" s="8" t="n">
        <x:v>0</x:v>
      </x:c>
      <x:c r="H255" s="8" t="n">
        <x:v>0</x:v>
      </x:c>
      <x:c r="I255" s="8" t="n">
        <x:v>0</x:v>
      </x:c>
      <x:c r="J255" s="8" t="n">
        <x:v>0</x:v>
      </x:c>
      <x:c r="K255" s="8" t="n">
        <x:v>0</x:v>
      </x:c>
      <x:c r="L255" s="24" t="n">
        <x:f>F255*'Service inputs'!B74*'Service inputs'!C74</x:f>
        <x:v>52</x:v>
      </x:c>
      <x:c r="M255" s="24" t="n">
        <x:f>F255*E255*'Service inputs'!D74</x:f>
        <x:v>0.743259074</x:v>
      </x:c>
      <x:c r="N255" s="24" t="n">
        <x:f>F255*E255*'Service inputs'!E74</x:f>
        <x:v>0.1486518148</x:v>
      </x:c>
      <x:c r="O255" s="24" t="n">
        <x:f>F255*E255*'Service inputs'!F74</x:f>
        <x:v>3.71629537</x:v>
      </x:c>
      <x:c r="P255" s="24" t="n">
        <x:f>L255+F255*G255*'Service inputs'!$B$17*'Service inputs'!$B$18*'Service inputs'!$B$19+M255*('Service inputs'!$B$20*'Service inputs'!$B$21+'Service inputs'!$B$22)+N255*'Service inputs'!$B$23+F255*(H255*'Service inputs'!$B$28*'Service inputs'!$B$29+I255*'Service inputs'!$B$24*'Service inputs'!$B$25+J255*'Service inputs'!$B$26*'Service inputs'!$B$27+K255*'Service inputs'!$B$30*'Service inputs'!$B$31)</x:f>
        <x:v>86.93317647800001</x:v>
      </x:c>
      <x:c r="Q255" s="24" t="n">
        <x:f>O255/SUM($O$5:$O$320)*SUMIF(Workload!$A$5:$A$40,"Ecology",Workload!$G$5:$G$40)</x:f>
        <x:v>39.01258642548333</x:v>
      </x:c>
      <x:c r="R255" s="25" t="n">
        <x:f>P255/SUMIF(Workload!$A$5:$A$40,"Grounds",Workload!$G$5:$G$40)*Staffing!$J$5+Q255/SUMIF(Workload!$A$5:$A$40,"Ecology",Workload!$G$5:$G$40)*Staffing!$J$7</x:f>
        <x:v>13350.434132580183</x:v>
      </x:c>
      <x:c r="S255" s="8" t="n">
        <x:v>1</x:v>
      </x:c>
      <x:c r="T255" s="22" t="n">
        <x:v>0</x:v>
      </x:c>
      <x:c r="U255" s="8" t="n">
        <x:v>0</x:v>
      </x:c>
      <x:c r="V255" s="8" t="n">
        <x:v>0</x:v>
      </x:c>
      <x:c r="W255" s="8" t="str">
        <x:v>https://parks.portlandciviclab.org/parks/se-division-st-and-se-150th-ave-property-1479</x:v>
      </x:c>
    </x:row>
    <x:row r="256" ht="23" customHeight="1">
      <x:c r="A256" s="7" t="str">
        <x:v>1197</x:v>
      </x:c>
      <x:c r="B256" s="7" t="str">
        <x:v>SW Dickinson and 62nd</x:v>
      </x:c>
      <x:c r="C256" s="7" t="str">
        <x:v>uncertain</x:v>
      </x:c>
      <x:c r="D256" s="7" t="str">
        <x:v>District 4</x:v>
      </x:c>
      <x:c r="E256" s="19" t="n">
        <x:v>0.21215128</x:v>
      </x:c>
      <x:c r="F256" s="7" t="n">
        <x:v>1</x:v>
      </x:c>
      <x:c r="G256" s="7" t="n">
        <x:v>0</x:v>
      </x:c>
      <x:c r="H256" s="7" t="n">
        <x:v>0</x:v>
      </x:c>
      <x:c r="I256" s="7" t="n">
        <x:v>0</x:v>
      </x:c>
      <x:c r="J256" s="7" t="n">
        <x:v>0</x:v>
      </x:c>
      <x:c r="K256" s="7" t="n">
        <x:v>0</x:v>
      </x:c>
      <x:c r="L256" s="26" t="n">
        <x:f>F256*'Service inputs'!B74*'Service inputs'!C74</x:f>
        <x:v>52</x:v>
      </x:c>
      <x:c r="M256" s="26" t="n">
        <x:f>F256*E256*'Service inputs'!D74</x:f>
        <x:v>0.021215128</x:v>
      </x:c>
      <x:c r="N256" s="26" t="n">
        <x:f>F256*E256*'Service inputs'!E74</x:f>
        <x:v>0.0042430256</x:v>
      </x:c>
      <x:c r="O256" s="26" t="n">
        <x:f>F256*E256*'Service inputs'!F74</x:f>
        <x:v>0.10607564</x:v>
      </x:c>
      <x:c r="P256" s="26" t="n">
        <x:f>L256+F256*G256*'Service inputs'!$B$17*'Service inputs'!$B$18*'Service inputs'!$B$19+M256*('Service inputs'!$B$20*'Service inputs'!$B$21+'Service inputs'!$B$22)+N256*'Service inputs'!$B$23+F256*(H256*'Service inputs'!$B$28*'Service inputs'!$B$29+I256*'Service inputs'!$B$24*'Service inputs'!$B$25+J256*'Service inputs'!$B$26*'Service inputs'!$B$27+K256*'Service inputs'!$B$30*'Service inputs'!$B$31)</x:f>
        <x:v>52.997111016</x:v>
      </x:c>
      <x:c r="Q256" s="26" t="n">
        <x:f>O256/SUM($O$5:$O$320)*SUMIF(Workload!$A$5:$A$40,"Ecology",Workload!$G$5:$G$40)</x:f>
        <x:v>1.113551174254068</x:v>
      </x:c>
      <x:c r="R256" s="27" t="n">
        <x:f>P256/SUMIF(Workload!$A$5:$A$40,"Grounds",Workload!$G$5:$G$40)*Staffing!$J$5+Q256/SUMIF(Workload!$A$5:$A$40,"Ecology",Workload!$G$5:$G$40)*Staffing!$J$7</x:f>
        <x:v>5515.176484064599</x:v>
      </x:c>
      <x:c r="S256" s="7" t="n">
        <x:v>0</x:v>
      </x:c>
      <x:c r="T256" s="23" t="n">
        <x:v>0</x:v>
      </x:c>
      <x:c r="U256" s="7" t="n">
        <x:v>0</x:v>
      </x:c>
      <x:c r="V256" s="7" t="n">
        <x:v>0</x:v>
      </x:c>
      <x:c r="W256" s="7" t="str">
        <x:v>https://parks.portlandciviclab.org/parks/sw-dickinson-and-62nd-1197</x:v>
      </x:c>
    </x:row>
    <x:row r="257" ht="23" customHeight="1">
      <x:c r="A257" s="8" t="str">
        <x:v>748</x:v>
      </x:c>
      <x:c r="B257" s="8" t="str">
        <x:v>SW Hall and 14th</x:v>
      </x:c>
      <x:c r="C257" s="8" t="str">
        <x:v>uncertain</x:v>
      </x:c>
      <x:c r="D257" s="8" t="str">
        <x:v>District 4</x:v>
      </x:c>
      <x:c r="E257" s="18" t="n">
        <x:v>0.53545834</x:v>
      </x:c>
      <x:c r="F257" s="8" t="n">
        <x:v>1</x:v>
      </x:c>
      <x:c r="G257" s="8" t="n">
        <x:v>0</x:v>
      </x:c>
      <x:c r="H257" s="8" t="n">
        <x:v>0</x:v>
      </x:c>
      <x:c r="I257" s="8" t="n">
        <x:v>0</x:v>
      </x:c>
      <x:c r="J257" s="8" t="n">
        <x:v>0</x:v>
      </x:c>
      <x:c r="K257" s="8" t="n">
        <x:v>0</x:v>
      </x:c>
      <x:c r="L257" s="24" t="n">
        <x:f>F257*'Service inputs'!B74*'Service inputs'!C74</x:f>
        <x:v>52</x:v>
      </x:c>
      <x:c r="M257" s="24" t="n">
        <x:f>F257*E257*'Service inputs'!D74</x:f>
        <x:v>0.05354583400000001</x:v>
      </x:c>
      <x:c r="N257" s="24" t="n">
        <x:f>F257*E257*'Service inputs'!E74</x:f>
        <x:v>0.010709166800000001</x:v>
      </x:c>
      <x:c r="O257" s="24" t="n">
        <x:f>F257*E257*'Service inputs'!F74</x:f>
        <x:v>0.26772917</x:v>
      </x:c>
      <x:c r="P257" s="24" t="n">
        <x:f>L257+F257*G257*'Service inputs'!$B$17*'Service inputs'!$B$18*'Service inputs'!$B$19+M257*('Service inputs'!$B$20*'Service inputs'!$B$21+'Service inputs'!$B$22)+N257*'Service inputs'!$B$23+F257*(H257*'Service inputs'!$B$28*'Service inputs'!$B$29+I257*'Service inputs'!$B$24*'Service inputs'!$B$25+J257*'Service inputs'!$B$26*'Service inputs'!$B$27+K257*'Service inputs'!$B$30*'Service inputs'!$B$31)</x:f>
        <x:v>54.516654198000005</x:v>
      </x:c>
      <x:c r="Q257" s="24" t="n">
        <x:f>O257/SUM($O$5:$O$320)*SUMIF(Workload!$A$5:$A$40,"Ecology",Workload!$G$5:$G$40)</x:f>
        <x:v>2.810542850701321</x:v>
      </x:c>
      <x:c r="R257" s="25" t="n">
        <x:f>P257/SUMIF(Workload!$A$5:$A$40,"Grounds",Workload!$G$5:$G$40)*Staffing!$J$5+Q257/SUMIF(Workload!$A$5:$A$40,"Ecology",Workload!$G$5:$G$40)*Staffing!$J$7</x:f>
        <x:v>5866.013040304361</x:v>
      </x:c>
      <x:c r="S257" s="8" t="n">
        <x:v>0</x:v>
      </x:c>
      <x:c r="T257" s="22" t="n">
        <x:v>0</x:v>
      </x:c>
      <x:c r="U257" s="8" t="n">
        <x:v>0</x:v>
      </x:c>
      <x:c r="V257" s="8" t="n">
        <x:v>0</x:v>
      </x:c>
      <x:c r="W257" s="8" t="str">
        <x:v>https://parks.portlandciviclab.org/parks/sw-hall-and-14th-748</x:v>
      </x:c>
    </x:row>
    <x:row r="258" ht="23" customHeight="1">
      <x:c r="A258" s="7" t="str">
        <x:v>789</x:v>
      </x:c>
      <x:c r="B258" s="7" t="str">
        <x:v>SW Talbot Property</x:v>
      </x:c>
      <x:c r="C258" s="7" t="str">
        <x:v>uncertain</x:v>
      </x:c>
      <x:c r="D258" s="7" t="str">
        <x:v>District 4</x:v>
      </x:c>
      <x:c r="E258" s="19" t="n">
        <x:v>0.04628693</x:v>
      </x:c>
      <x:c r="F258" s="7" t="n">
        <x:v>1</x:v>
      </x:c>
      <x:c r="G258" s="7" t="n">
        <x:v>0</x:v>
      </x:c>
      <x:c r="H258" s="7" t="n">
        <x:v>0</x:v>
      </x:c>
      <x:c r="I258" s="7" t="n">
        <x:v>0</x:v>
      </x:c>
      <x:c r="J258" s="7" t="n">
        <x:v>0</x:v>
      </x:c>
      <x:c r="K258" s="7" t="n">
        <x:v>0</x:v>
      </x:c>
      <x:c r="L258" s="26" t="n">
        <x:f>F258*'Service inputs'!B74*'Service inputs'!C74</x:f>
        <x:v>52</x:v>
      </x:c>
      <x:c r="M258" s="26" t="n">
        <x:f>F258*E258*'Service inputs'!D74</x:f>
        <x:v>0.004628693</x:v>
      </x:c>
      <x:c r="N258" s="26" t="n">
        <x:f>F258*E258*'Service inputs'!E74</x:f>
        <x:v>0.0009257385999999999</x:v>
      </x:c>
      <x:c r="O258" s="26" t="n">
        <x:f>F258*E258*'Service inputs'!F74</x:f>
        <x:v>0.023143465</x:v>
      </x:c>
      <x:c r="P258" s="26" t="n">
        <x:f>L258+F258*G258*'Service inputs'!$B$17*'Service inputs'!$B$18*'Service inputs'!$B$19+M258*('Service inputs'!$B$20*'Service inputs'!$B$21+'Service inputs'!$B$22)+N258*'Service inputs'!$B$23+F258*(H258*'Service inputs'!$B$28*'Service inputs'!$B$29+I258*'Service inputs'!$B$24*'Service inputs'!$B$25+J258*'Service inputs'!$B$26*'Service inputs'!$B$27+K258*'Service inputs'!$B$30*'Service inputs'!$B$31)</x:f>
        <x:v>52.217548570999995</x:v>
      </x:c>
      <x:c r="Q258" s="26" t="n">
        <x:f>O258/SUM($O$5:$O$320)*SUMIF(Workload!$A$5:$A$40,"Ecology",Workload!$G$5:$G$40)</x:f>
        <x:v>0.24295335504982973</x:v>
      </x:c>
      <x:c r="R258" s="27" t="n">
        <x:f>P258/SUMIF(Workload!$A$5:$A$40,"Grounds",Workload!$G$5:$G$40)*Staffing!$J$5+Q258/SUMIF(Workload!$A$5:$A$40,"Ecology",Workload!$G$5:$G$40)*Staffing!$J$7</x:f>
        <x:v>5335.188835923087</x:v>
      </x:c>
      <x:c r="S258" s="7" t="n">
        <x:v>0</x:v>
      </x:c>
      <x:c r="T258" s="23" t="n">
        <x:v>0</x:v>
      </x:c>
      <x:c r="U258" s="7" t="n">
        <x:v>0</x:v>
      </x:c>
      <x:c r="V258" s="7" t="n">
        <x:v>0</x:v>
      </x:c>
      <x:c r="W258" s="7" t="str">
        <x:v>https://parks.portlandciviclab.org/parks/sw-talbot-property-789</x:v>
      </x:c>
    </x:row>
    <x:row r="259" ht="23" customHeight="1">
      <x:c r="A259" s="8" t="str">
        <x:v>793</x:v>
      </x:c>
      <x:c r="B259" s="8" t="str">
        <x:v>SW Terwilliger Blvd Parkway</x:v>
      </x:c>
      <x:c r="C259" s="8" t="str">
        <x:v>developed-park</x:v>
      </x:c>
      <x:c r="D259" s="8" t="str">
        <x:v>District 4</x:v>
      </x:c>
      <x:c r="E259" s="18" t="n">
        <x:v>102.81563558</x:v>
      </x:c>
      <x:c r="F259" s="8" t="n">
        <x:v>1</x:v>
      </x:c>
      <x:c r="G259" s="8" t="n">
        <x:v>1</x:v>
      </x:c>
      <x:c r="H259" s="8" t="n">
        <x:v>1</x:v>
      </x:c>
      <x:c r="I259" s="8" t="n">
        <x:v>0</x:v>
      </x:c>
      <x:c r="J259" s="8" t="n">
        <x:v>0</x:v>
      </x:c>
      <x:c r="K259" s="8" t="n">
        <x:v>0</x:v>
      </x:c>
      <x:c r="L259" s="24" t="n">
        <x:f>F259*'Service inputs'!B65*'Service inputs'!C65</x:f>
        <x:v>547.5</x:v>
      </x:c>
      <x:c r="M259" s="24" t="n">
        <x:f>F259*E259*'Service inputs'!D65</x:f>
        <x:v>56.54859956900001</x:v>
      </x:c>
      <x:c r="N259" s="24" t="n">
        <x:f>F259*E259*'Service inputs'!E65</x:f>
        <x:v>5.140781779000001</x:v>
      </x:c>
      <x:c r="O259" s="24" t="n">
        <x:f>F259*E259*'Service inputs'!F65</x:f>
        <x:v>25.703908895</x:v>
      </x:c>
      <x:c r="P259" s="24" t="n">
        <x:f>L259+F259*G259*'Service inputs'!$B$17*'Service inputs'!$B$18*'Service inputs'!$B$19+M259*('Service inputs'!$B$20*'Service inputs'!$B$21+'Service inputs'!$B$22)+N259*'Service inputs'!$B$23+F259*(H259*'Service inputs'!$B$28*'Service inputs'!$B$29+I259*'Service inputs'!$B$24*'Service inputs'!$B$25+J259*'Service inputs'!$B$26*'Service inputs'!$B$27+K259*'Service inputs'!$B$30*'Service inputs'!$B$31)</x:f>
        <x:v>2825.7616035670003</x:v>
      </x:c>
      <x:c r="Q259" s="24" t="n">
        <x:f>O259/SUM($O$5:$O$320)*SUMIF(Workload!$A$5:$A$40,"Ecology",Workload!$G$5:$G$40)</x:f>
        <x:v>269.83214933180545</x:v>
      </x:c>
      <x:c r="R259" s="25" t="n">
        <x:f>P259/SUMIF(Workload!$A$5:$A$40,"Grounds",Workload!$G$5:$G$40)*Staffing!$J$5+Q259/SUMIF(Workload!$A$5:$A$40,"Ecology",Workload!$G$5:$G$40)*Staffing!$J$7</x:f>
        <x:v>318421.7879504696</x:v>
      </x:c>
      <x:c r="S259" s="8" t="n">
        <x:v>7</x:v>
      </x:c>
      <x:c r="T259" s="22" t="n">
        <x:v>0.2857142857142857</x:v>
      </x:c>
      <x:c r="U259" s="8" t="n">
        <x:v>0</x:v>
      </x:c>
      <x:c r="V259" s="8" t="n">
        <x:v>0</x:v>
      </x:c>
      <x:c r="W259" s="8" t="str">
        <x:v>https://parks.portlandciviclab.org/parks/sw-terwilliger-blvd-parkway-793</x:v>
      </x:c>
    </x:row>
    <x:row r="260" ht="23" customHeight="1">
      <x:c r="A260" s="7" t="str">
        <x:v>800</x:v>
      </x:c>
      <x:c r="B260" s="7" t="str">
        <x:v>SW Thomas and 53rd</x:v>
      </x:c>
      <x:c r="C260" s="7" t="str">
        <x:v>natural-area</x:v>
      </x:c>
      <x:c r="D260" s="7" t="str">
        <x:v>District 4</x:v>
      </x:c>
      <x:c r="E260" s="19" t="n">
        <x:v>2.81153454</x:v>
      </x:c>
      <x:c r="F260" s="7" t="n">
        <x:v>1</x:v>
      </x:c>
      <x:c r="G260" s="7" t="n">
        <x:v>0</x:v>
      </x:c>
      <x:c r="H260" s="7" t="n">
        <x:v>0</x:v>
      </x:c>
      <x:c r="I260" s="7" t="n">
        <x:v>0</x:v>
      </x:c>
      <x:c r="J260" s="7" t="n">
        <x:v>0</x:v>
      </x:c>
      <x:c r="K260" s="7" t="n">
        <x:v>0</x:v>
      </x:c>
      <x:c r="L260" s="26" t="n">
        <x:f>F260*'Service inputs'!B66*'Service inputs'!C66</x:f>
        <x:v>78</x:v>
      </x:c>
      <x:c r="M260" s="26" t="n">
        <x:f>F260*E260*'Service inputs'!D66</x:f>
        <x:v>0.0140576727</x:v>
      </x:c>
      <x:c r="N260" s="26" t="n">
        <x:f>F260*E260*'Service inputs'!E66</x:f>
        <x:v>0</x:v>
      </x:c>
      <x:c r="O260" s="26" t="n">
        <x:f>F260*E260*'Service inputs'!F66</x:f>
        <x:v>2.7834191946</x:v>
      </x:c>
      <x:c r="P260" s="26" t="n">
        <x:f>L260+F260*G260*'Service inputs'!$B$17*'Service inputs'!$B$18*'Service inputs'!$B$19+M260*('Service inputs'!$B$20*'Service inputs'!$B$21+'Service inputs'!$B$22)+N260*'Service inputs'!$B$23+F260*(H260*'Service inputs'!$B$28*'Service inputs'!$B$29+I260*'Service inputs'!$B$24*'Service inputs'!$B$25+J260*'Service inputs'!$B$26*'Service inputs'!$B$27+K260*'Service inputs'!$B$30*'Service inputs'!$B$31)</x:f>
        <x:v>78.3233264721</x:v>
      </x:c>
      <x:c r="Q260" s="26" t="n">
        <x:f>O260/SUM($O$5:$O$320)*SUMIF(Workload!$A$5:$A$40,"Ecology",Workload!$G$5:$G$40)</x:f>
        <x:v>29.219524035755448</x:v>
      </x:c>
      <x:c r="R260" s="27" t="n">
        <x:f>P260/SUMIF(Workload!$A$5:$A$40,"Grounds",Workload!$G$5:$G$40)*Staffing!$J$5+Q260/SUMIF(Workload!$A$5:$A$40,"Ecology",Workload!$G$5:$G$40)*Staffing!$J$7</x:f>
        <x:v>11341.992237317525</x:v>
      </x:c>
      <x:c r="S260" s="7" t="n">
        <x:v>0</x:v>
      </x:c>
      <x:c r="T260" s="23" t="n">
        <x:v>0</x:v>
      </x:c>
      <x:c r="U260" s="7" t="n">
        <x:v>0</x:v>
      </x:c>
      <x:c r="V260" s="7" t="n">
        <x:v>0</x:v>
      </x:c>
      <x:c r="W260" s="7" t="str">
        <x:v>https://parks.portlandciviclab.org/parks/sw-thomas-and-53rd-800</x:v>
      </x:c>
    </x:row>
    <x:row r="261" ht="23" customHeight="1">
      <x:c r="A261" s="8" t="str">
        <x:v>578</x:v>
      </x:c>
      <x:c r="B261" s="8" t="str">
        <x:v>Sabin Community Garden</x:v>
      </x:c>
      <x:c r="C261" s="8" t="str">
        <x:v>community-garden</x:v>
      </x:c>
      <x:c r="D261" s="8" t="str">
        <x:v>District 2</x:v>
      </x:c>
      <x:c r="E261" s="18" t="n">
        <x:v>0.21589634</x:v>
      </x:c>
      <x:c r="F261" s="8" t="n">
        <x:v>1</x:v>
      </x:c>
      <x:c r="G261" s="8" t="n">
        <x:v>0</x:v>
      </x:c>
      <x:c r="H261" s="8" t="n">
        <x:v>0</x:v>
      </x:c>
      <x:c r="I261" s="8" t="n">
        <x:v>0</x:v>
      </x:c>
      <x:c r="J261" s="8" t="n">
        <x:v>0</x:v>
      </x:c>
      <x:c r="K261" s="8" t="n">
        <x:v>0</x:v>
      </x:c>
      <x:c r="L261" s="24" t="n">
        <x:f>F261*'Service inputs'!B67*'Service inputs'!C67</x:f>
        <x:v>52</x:v>
      </x:c>
      <x:c r="M261" s="24" t="n">
        <x:f>F261*E261*'Service inputs'!D67</x:f>
        <x:v>0.010794817</x:v>
      </x:c>
      <x:c r="N261" s="24" t="n">
        <x:f>F261*E261*'Service inputs'!E67</x:f>
        <x:v>0.021589634</x:v>
      </x:c>
      <x:c r="O261" s="24" t="n">
        <x:f>F261*E261*'Service inputs'!F67</x:f>
        <x:v>0</x:v>
      </x:c>
      <x:c r="P261" s="24" t="n">
        <x:f>L261+F261*G261*'Service inputs'!$B$17*'Service inputs'!$B$18*'Service inputs'!$B$19+M261*('Service inputs'!$B$20*'Service inputs'!$B$21+'Service inputs'!$B$22)+N261*'Service inputs'!$B$23+F261*(H261*'Service inputs'!$B$28*'Service inputs'!$B$29+I261*'Service inputs'!$B$24*'Service inputs'!$B$25+J261*'Service inputs'!$B$26*'Service inputs'!$B$27+K261*'Service inputs'!$B$30*'Service inputs'!$B$31)</x:f>
        <x:v>54.839036871</x:v>
      </x:c>
      <x:c r="Q261" s="24" t="n">
        <x:f>O261/SUM($O$5:$O$320)*SUMIF(Workload!$A$5:$A$40,"Ecology",Workload!$G$5:$G$40)</x:f>
        <x:v>0</x:v>
      </x:c>
      <x:c r="R261" s="25" t="n">
        <x:f>P261/SUMIF(Workload!$A$5:$A$40,"Grounds",Workload!$G$5:$G$40)*Staffing!$J$5+Q261/SUMIF(Workload!$A$5:$A$40,"Ecology",Workload!$G$5:$G$40)*Staffing!$J$7</x:f>
        <x:v>5573.502856821575</x:v>
      </x:c>
      <x:c r="S261" s="8" t="n">
        <x:v>1</x:v>
      </x:c>
      <x:c r="T261" s="22" t="n">
        <x:v>0</x:v>
      </x:c>
      <x:c r="U261" s="8" t="n">
        <x:v>0</x:v>
      </x:c>
      <x:c r="V261" s="8" t="n">
        <x:v>0</x:v>
      </x:c>
      <x:c r="W261" s="8" t="str">
        <x:v>https://parks.portlandciviclab.org/parks/sabin-community-garden-578</x:v>
      </x:c>
    </x:row>
    <x:row r="262" ht="23" customHeight="1">
      <x:c r="A262" s="7" t="str">
        <x:v>834</x:v>
      </x:c>
      <x:c r="B262" s="7" t="str">
        <x:v>Sabin HydroPark</x:v>
      </x:c>
      <x:c r="C262" s="7" t="str">
        <x:v>developed-park</x:v>
      </x:c>
      <x:c r="D262" s="7" t="str">
        <x:v>District 2</x:v>
      </x:c>
      <x:c r="E262" s="19" t="n">
        <x:v>2.17271766</x:v>
      </x:c>
      <x:c r="F262" s="7" t="n">
        <x:v>1</x:v>
      </x:c>
      <x:c r="G262" s="7" t="n">
        <x:v>0</x:v>
      </x:c>
      <x:c r="H262" s="7" t="n">
        <x:v>1</x:v>
      </x:c>
      <x:c r="I262" s="7" t="n">
        <x:v>0</x:v>
      </x:c>
      <x:c r="J262" s="7" t="n">
        <x:v>0</x:v>
      </x:c>
      <x:c r="K262" s="7" t="n">
        <x:v>0</x:v>
      </x:c>
      <x:c r="L262" s="26" t="n">
        <x:f>F262*'Service inputs'!B65*'Service inputs'!C65</x:f>
        <x:v>547.5</x:v>
      </x:c>
      <x:c r="M262" s="26" t="n">
        <x:f>F262*E262*'Service inputs'!D65</x:f>
        <x:v>1.194994713</x:v>
      </x:c>
      <x:c r="N262" s="26" t="n">
        <x:f>F262*E262*'Service inputs'!E65</x:f>
        <x:v>0.108635883</x:v>
      </x:c>
      <x:c r="O262" s="26" t="n">
        <x:f>F262*E262*'Service inputs'!F65</x:f>
        <x:v>0.543179415</x:v>
      </x:c>
      <x:c r="P262" s="26" t="n">
        <x:f>L262+F262*G262*'Service inputs'!$B$17*'Service inputs'!$B$18*'Service inputs'!$B$19+M262*('Service inputs'!$B$20*'Service inputs'!$B$21+'Service inputs'!$B$22)+N262*'Service inputs'!$B$23+F262*(H262*'Service inputs'!$B$28*'Service inputs'!$B$29+I262*'Service inputs'!$B$24*'Service inputs'!$B$25+J262*'Service inputs'!$B$26*'Service inputs'!$B$27+K262*'Service inputs'!$B$30*'Service inputs'!$B$31)</x:f>
        <x:v>627.021184359</x:v>
      </x:c>
      <x:c r="Q262" s="26" t="n">
        <x:f>O262/SUM($O$5:$O$320)*SUMIF(Workload!$A$5:$A$40,"Ecology",Workload!$G$5:$G$40)</x:f>
        <x:v>5.702139297994221</x:v>
      </x:c>
      <x:c r="R262" s="27" t="n">
        <x:f>P262/SUMIF(Workload!$A$5:$A$40,"Grounds",Workload!$G$5:$G$40)*Staffing!$J$5+Q262/SUMIF(Workload!$A$5:$A$40,"Ecology",Workload!$G$5:$G$40)*Staffing!$J$7</x:f>
        <x:v>64386.512685940754</x:v>
      </x:c>
      <x:c r="S262" s="7" t="n">
        <x:v>4</x:v>
      </x:c>
      <x:c r="T262" s="23" t="n">
        <x:v>0.25</x:v>
      </x:c>
      <x:c r="U262" s="7" t="n">
        <x:v>1</x:v>
      </x:c>
      <x:c r="V262" s="7" t="n">
        <x:v>0</x:v>
      </x:c>
      <x:c r="W262" s="7" t="str">
        <x:v>https://parks.portlandciviclab.org/parks/sabin-hydropark-834</x:v>
      </x:c>
    </x:row>
    <x:row r="263" ht="23" customHeight="1">
      <x:c r="A263" s="8" t="str">
        <x:v>580</x:v>
      </x:c>
      <x:c r="B263" s="8" t="str">
        <x:v>Sacajawea Park</x:v>
      </x:c>
      <x:c r="C263" s="8" t="str">
        <x:v>developed-park</x:v>
      </x:c>
      <x:c r="D263" s="8" t="str">
        <x:v>District 2</x:v>
      </x:c>
      <x:c r="E263" s="18" t="n">
        <x:v>4.86048473</x:v>
      </x:c>
      <x:c r="F263" s="8" t="n">
        <x:v>1</x:v>
      </x:c>
      <x:c r="G263" s="8" t="n">
        <x:v>0</x:v>
      </x:c>
      <x:c r="H263" s="8" t="n">
        <x:v>0</x:v>
      </x:c>
      <x:c r="I263" s="8" t="n">
        <x:v>0</x:v>
      </x:c>
      <x:c r="J263" s="8" t="n">
        <x:v>0</x:v>
      </x:c>
      <x:c r="K263" s="8" t="n">
        <x:v>0</x:v>
      </x:c>
      <x:c r="L263" s="24" t="n">
        <x:f>F263*'Service inputs'!B65*'Service inputs'!C65</x:f>
        <x:v>547.5</x:v>
      </x:c>
      <x:c r="M263" s="24" t="n">
        <x:f>F263*E263*'Service inputs'!D65</x:f>
        <x:v>2.6732666015</x:v>
      </x:c>
      <x:c r="N263" s="24" t="n">
        <x:f>F263*E263*'Service inputs'!E65</x:f>
        <x:v>0.2430242365</x:v>
      </x:c>
      <x:c r="O263" s="24" t="n">
        <x:f>F263*E263*'Service inputs'!F65</x:f>
        <x:v>1.2151211825</x:v>
      </x:c>
      <x:c r="P263" s="24" t="n">
        <x:f>L263+F263*G263*'Service inputs'!$B$17*'Service inputs'!$B$18*'Service inputs'!$B$19+M263*('Service inputs'!$B$20*'Service inputs'!$B$21+'Service inputs'!$B$22)+N263*'Service inputs'!$B$23+F263*(H263*'Service inputs'!$B$28*'Service inputs'!$B$29+I263*'Service inputs'!$B$24*'Service inputs'!$B$25+J263*'Service inputs'!$B$26*'Service inputs'!$B$27+K263*'Service inputs'!$B$30*'Service inputs'!$B$31)</x:f>
        <x:v>638.1480402144999</x:v>
      </x:c>
      <x:c r="Q263" s="24" t="n">
        <x:f>O263/SUM($O$5:$O$320)*SUMIF(Workload!$A$5:$A$40,"Ecology",Workload!$G$5:$G$40)</x:f>
        <x:v>12.755988270576228</x:v>
      </x:c>
      <x:c r="R263" s="25" t="n">
        <x:f>P263/SUMIF(Workload!$A$5:$A$40,"Grounds",Workload!$G$5:$G$40)*Staffing!$J$5+Q263/SUMIF(Workload!$A$5:$A$40,"Ecology",Workload!$G$5:$G$40)*Staffing!$J$7</x:f>
        <x:v>66333.74765272648</x:v>
      </x:c>
      <x:c r="S263" s="8" t="n">
        <x:v>14</x:v>
      </x:c>
      <x:c r="T263" s="22" t="n">
        <x:v>0.07142857142857142</x:v>
      </x:c>
      <x:c r="U263" s="8" t="n">
        <x:v>0</x:v>
      </x:c>
      <x:c r="V263" s="8" t="n">
        <x:v>0</x:v>
      </x:c>
      <x:c r="W263" s="8" t="str">
        <x:v>https://parks.portlandciviclab.org/parks/sacajawea-park-580</x:v>
      </x:c>
    </x:row>
    <x:row r="264" ht="23" customHeight="1">
      <x:c r="A264" s="7" t="str">
        <x:v>663</x:v>
      </x:c>
      <x:c r="B264" s="7" t="str">
        <x:v>Sellwood Community Center</x:v>
      </x:c>
      <x:c r="C264" s="7" t="str">
        <x:v>facility-site</x:v>
      </x:c>
      <x:c r="D264" s="7" t="str">
        <x:v>District 4</x:v>
      </x:c>
      <x:c r="E264" s="19" t="n">
        <x:v>0.22959943</x:v>
      </x:c>
      <x:c r="F264" s="7" t="n">
        <x:v>1</x:v>
      </x:c>
      <x:c r="G264" s="7" t="n">
        <x:v>0</x:v>
      </x:c>
      <x:c r="H264" s="7" t="n">
        <x:v>1</x:v>
      </x:c>
      <x:c r="I264" s="7" t="n">
        <x:v>0</x:v>
      </x:c>
      <x:c r="J264" s="7" t="n">
        <x:v>1</x:v>
      </x:c>
      <x:c r="K264" s="7" t="n">
        <x:v>0</x:v>
      </x:c>
      <x:c r="L264" s="26" t="n">
        <x:f>F264*'Service inputs'!B69*'Service inputs'!C69</x:f>
        <x:v>260</x:v>
      </x:c>
      <x:c r="M264" s="26" t="n">
        <x:f>F264*E264*'Service inputs'!D69</x:f>
        <x:v>0.022959943</x:v>
      </x:c>
      <x:c r="N264" s="26" t="n">
        <x:f>F264*E264*'Service inputs'!E69</x:f>
        <x:v>0.022959943</x:v>
      </x:c>
      <x:c r="O264" s="26" t="n">
        <x:f>F264*E264*'Service inputs'!F69</x:f>
        <x:v>0</x:v>
      </x:c>
      <x:c r="P264" s="26" t="n">
        <x:f>L264+F264*G264*'Service inputs'!$B$17*'Service inputs'!$B$18*'Service inputs'!$B$19+M264*('Service inputs'!$B$20*'Service inputs'!$B$21+'Service inputs'!$B$22)+N264*'Service inputs'!$B$23+F264*(H264*'Service inputs'!$B$28*'Service inputs'!$B$29+I264*'Service inputs'!$B$24*'Service inputs'!$B$25+J264*'Service inputs'!$B$26*'Service inputs'!$B$27+K264*'Service inputs'!$B$30*'Service inputs'!$B$31)</x:f>
        <x:v>320.28327184899996</x:v>
      </x:c>
      <x:c r="Q264" s="26" t="n">
        <x:f>O264/SUM($O$5:$O$320)*SUMIF(Workload!$A$5:$A$40,"Ecology",Workload!$G$5:$G$40)</x:f>
        <x:v>0</x:v>
      </x:c>
      <x:c r="R264" s="27" t="n">
        <x:f>P264/SUMIF(Workload!$A$5:$A$40,"Grounds",Workload!$G$5:$G$40)*Staffing!$J$5+Q264/SUMIF(Workload!$A$5:$A$40,"Ecology",Workload!$G$5:$G$40)*Staffing!$J$7</x:f>
        <x:v>32551.62439927094</x:v>
      </x:c>
      <x:c r="S264" s="7" t="n">
        <x:v>2</x:v>
      </x:c>
      <x:c r="T264" s="23" t="n">
        <x:v>0</x:v>
      </x:c>
      <x:c r="U264" s="7" t="n">
        <x:v>0</x:v>
      </x:c>
      <x:c r="V264" s="7" t="n">
        <x:v>1</x:v>
      </x:c>
      <x:c r="W264" s="7" t="str">
        <x:v>https://parks.portlandciviclab.org/parks/sellwood-community-center-663</x:v>
      </x:c>
    </x:row>
    <x:row r="265" ht="23" customHeight="1">
      <x:c r="A265" s="8" t="str">
        <x:v>1230</x:v>
      </x:c>
      <x:c r="B265" s="8" t="str">
        <x:v>Sellwood Community Garden</x:v>
      </x:c>
      <x:c r="C265" s="8" t="str">
        <x:v>community-garden</x:v>
      </x:c>
      <x:c r="D265" s="8" t="str">
        <x:v>District 4</x:v>
      </x:c>
      <x:c r="E265" s="18" t="n">
        <x:v>0.22957388</x:v>
      </x:c>
      <x:c r="F265" s="8" t="n">
        <x:v>1</x:v>
      </x:c>
      <x:c r="G265" s="8" t="n">
        <x:v>0</x:v>
      </x:c>
      <x:c r="H265" s="8" t="n">
        <x:v>0</x:v>
      </x:c>
      <x:c r="I265" s="8" t="n">
        <x:v>0</x:v>
      </x:c>
      <x:c r="J265" s="8" t="n">
        <x:v>0</x:v>
      </x:c>
      <x:c r="K265" s="8" t="n">
        <x:v>0</x:v>
      </x:c>
      <x:c r="L265" s="24" t="n">
        <x:f>F265*'Service inputs'!B67*'Service inputs'!C67</x:f>
        <x:v>52</x:v>
      </x:c>
      <x:c r="M265" s="24" t="n">
        <x:f>F265*E265*'Service inputs'!D67</x:f>
        <x:v>0.011478694000000001</x:v>
      </x:c>
      <x:c r="N265" s="24" t="n">
        <x:f>F265*E265*'Service inputs'!E67</x:f>
        <x:v>0.022957388000000002</x:v>
      </x:c>
      <x:c r="O265" s="24" t="n">
        <x:f>F265*E265*'Service inputs'!F67</x:f>
        <x:v>0</x:v>
      </x:c>
      <x:c r="P265" s="24" t="n">
        <x:f>L265+F265*G265*'Service inputs'!$B$17*'Service inputs'!$B$18*'Service inputs'!$B$19+M265*('Service inputs'!$B$20*'Service inputs'!$B$21+'Service inputs'!$B$22)+N265*'Service inputs'!$B$23+F265*(H265*'Service inputs'!$B$28*'Service inputs'!$B$29+I265*'Service inputs'!$B$24*'Service inputs'!$B$25+J265*'Service inputs'!$B$26*'Service inputs'!$B$27+K265*'Service inputs'!$B$30*'Service inputs'!$B$31)</x:f>
        <x:v>55.018896522000006</x:v>
      </x:c>
      <x:c r="Q265" s="24" t="n">
        <x:f>O265/SUM($O$5:$O$320)*SUMIF(Workload!$A$5:$A$40,"Ecology",Workload!$G$5:$G$40)</x:f>
        <x:v>0</x:v>
      </x:c>
      <x:c r="R265" s="25" t="n">
        <x:f>P265/SUMIF(Workload!$A$5:$A$40,"Grounds",Workload!$G$5:$G$40)*Staffing!$J$5+Q265/SUMIF(Workload!$A$5:$A$40,"Ecology",Workload!$G$5:$G$40)*Staffing!$J$7</x:f>
        <x:v>5591.782686954871</x:v>
      </x:c>
      <x:c r="S265" s="8" t="n">
        <x:v>2</x:v>
      </x:c>
      <x:c r="T265" s="22" t="n">
        <x:v>0.5</x:v>
      </x:c>
      <x:c r="U265" s="8" t="n">
        <x:v>0</x:v>
      </x:c>
      <x:c r="V265" s="8" t="n">
        <x:v>0</x:v>
      </x:c>
      <x:c r="W265" s="8" t="str">
        <x:v>https://parks.portlandciviclab.org/parks/sellwood-community-garden-1230</x:v>
      </x:c>
    </x:row>
    <x:row r="266" ht="23" customHeight="1">
      <x:c r="A266" s="7" t="str">
        <x:v>666</x:v>
      </x:c>
      <x:c r="B266" s="7" t="str">
        <x:v>Sellwood Park</x:v>
      </x:c>
      <x:c r="C266" s="7" t="str">
        <x:v>developed-park</x:v>
      </x:c>
      <x:c r="D266" s="7" t="str">
        <x:v>District 4</x:v>
      </x:c>
      <x:c r="E266" s="19" t="n">
        <x:v>16.64919961</x:v>
      </x:c>
      <x:c r="F266" s="7" t="n">
        <x:v>1</x:v>
      </x:c>
      <x:c r="G266" s="7" t="n">
        <x:v>3</x:v>
      </x:c>
      <x:c r="H266" s="7" t="n">
        <x:v>1</x:v>
      </x:c>
      <x:c r="I266" s="7" t="n">
        <x:v>4</x:v>
      </x:c>
      <x:c r="J266" s="7" t="n">
        <x:v>13</x:v>
      </x:c>
      <x:c r="K266" s="7" t="n">
        <x:v>0</x:v>
      </x:c>
      <x:c r="L266" s="26" t="n">
        <x:f>F266*'Service inputs'!B65*'Service inputs'!C65</x:f>
        <x:v>547.5</x:v>
      </x:c>
      <x:c r="M266" s="26" t="n">
        <x:f>F266*E266*'Service inputs'!D65</x:f>
        <x:v>9.157059785500001</x:v>
      </x:c>
      <x:c r="N266" s="26" t="n">
        <x:f>F266*E266*'Service inputs'!E65</x:f>
        <x:v>0.8324599805</x:v>
      </x:c>
      <x:c r="O266" s="26" t="n">
        <x:f>F266*E266*'Service inputs'!F65</x:f>
        <x:v>4.1622999025</x:v>
      </x:c>
      <x:c r="P266" s="26" t="n">
        <x:f>L266+F266*G266*'Service inputs'!$B$17*'Service inputs'!$B$18*'Service inputs'!$B$19+M266*('Service inputs'!$B$20*'Service inputs'!$B$21+'Service inputs'!$B$22)+N266*'Service inputs'!$B$23+F266*(H266*'Service inputs'!$B$28*'Service inputs'!$B$29+I266*'Service inputs'!$B$24*'Service inputs'!$B$25+J266*'Service inputs'!$B$26*'Service inputs'!$B$27+K266*'Service inputs'!$B$30*'Service inputs'!$B$31)</x:f>
        <x:v>2516.2575727265003</x:v>
      </x:c>
      <x:c r="Q266" s="26" t="n">
        <x:f>O266/SUM($O$5:$O$320)*SUMIF(Workload!$A$5:$A$40,"Ecology",Workload!$G$5:$G$40)</x:f>
        <x:v>43.694612109118246</x:v>
      </x:c>
      <x:c r="R266" s="27" t="n">
        <x:f>P266/SUMIF(Workload!$A$5:$A$40,"Grounds",Workload!$G$5:$G$40)*Staffing!$J$5+Q266/SUMIF(Workload!$A$5:$A$40,"Ecology",Workload!$G$5:$G$40)*Staffing!$J$7</x:f>
        <x:v>260793.91280223138</x:v>
      </x:c>
      <x:c r="S266" s="7" t="n">
        <x:v>252</x:v>
      </x:c>
      <x:c r="T266" s="23" t="n">
        <x:v>0.06746031746031746</x:v>
      </x:c>
      <x:c r="U266" s="7" t="n">
        <x:v>9</x:v>
      </x:c>
      <x:c r="V266" s="7" t="n">
        <x:v>1</x:v>
      </x:c>
      <x:c r="W266" s="7" t="str">
        <x:v>https://parks.portlandciviclab.org/parks/sellwood-park-666</x:v>
      </x:c>
    </x:row>
    <x:row r="267" ht="23" customHeight="1">
      <x:c r="A267" s="8" t="str">
        <x:v>668</x:v>
      </x:c>
      <x:c r="B267" s="8" t="str">
        <x:v>Sellwood Riverfront Park</x:v>
      </x:c>
      <x:c r="C267" s="8" t="str">
        <x:v>developed-park</x:v>
      </x:c>
      <x:c r="D267" s="8" t="str">
        <x:v>District 4</x:v>
      </x:c>
      <x:c r="E267" s="18" t="n">
        <x:v>8.17102281</x:v>
      </x:c>
      <x:c r="F267" s="8" t="n">
        <x:v>1</x:v>
      </x:c>
      <x:c r="G267" s="8" t="n">
        <x:v>1</x:v>
      </x:c>
      <x:c r="H267" s="8" t="n">
        <x:v>0</x:v>
      </x:c>
      <x:c r="I267" s="8" t="n">
        <x:v>0</x:v>
      </x:c>
      <x:c r="J267" s="8" t="n">
        <x:v>0</x:v>
      </x:c>
      <x:c r="K267" s="8" t="n">
        <x:v>0</x:v>
      </x:c>
      <x:c r="L267" s="24" t="n">
        <x:f>F267*'Service inputs'!B65*'Service inputs'!C65</x:f>
        <x:v>547.5</x:v>
      </x:c>
      <x:c r="M267" s="24" t="n">
        <x:f>F267*E267*'Service inputs'!D65</x:f>
        <x:v>4.4940625455</x:v>
      </x:c>
      <x:c r="N267" s="24" t="n">
        <x:f>F267*E267*'Service inputs'!E65</x:f>
        <x:v>0.4085511405</x:v>
      </x:c>
      <x:c r="O267" s="24" t="n">
        <x:f>F267*E267*'Service inputs'!F65</x:f>
        <x:v>2.0427557025</x:v>
      </x:c>
      <x:c r="P267" s="24" t="n">
        <x:f>L267+F267*G267*'Service inputs'!$B$17*'Service inputs'!$B$18*'Service inputs'!$B$19+M267*('Service inputs'!$B$20*'Service inputs'!$B$21+'Service inputs'!$B$22)+N267*'Service inputs'!$B$23+F267*(H267*'Service inputs'!$B$28*'Service inputs'!$B$29+I267*'Service inputs'!$B$24*'Service inputs'!$B$25+J267*'Service inputs'!$B$26*'Service inputs'!$B$27+K267*'Service inputs'!$B$30*'Service inputs'!$B$31)</x:f>
        <x:v>1021.6395754065</x:v>
      </x:c>
      <x:c r="Q267" s="24" t="n">
        <x:f>O267/SUM($O$5:$O$320)*SUMIF(Workload!$A$5:$A$40,"Ecology",Workload!$G$5:$G$40)</x:f>
        <x:v>21.44425441348333</x:v>
      </x:c>
      <x:c r="R267" s="25" t="n">
        <x:f>P267/SUMIF(Workload!$A$5:$A$40,"Grounds",Workload!$G$5:$G$40)*Staffing!$J$5+Q267/SUMIF(Workload!$A$5:$A$40,"Ecology",Workload!$G$5:$G$40)*Staffing!$J$7</x:f>
        <x:v>106314.99889127043</x:v>
      </x:c>
      <x:c r="S267" s="8" t="n">
        <x:v>59</x:v>
      </x:c>
      <x:c r="T267" s="22" t="n">
        <x:v>0.3220338983050847</x:v>
      </x:c>
      <x:c r="U267" s="8" t="n">
        <x:v>4</x:v>
      </x:c>
      <x:c r="V267" s="8" t="n">
        <x:v>0</x:v>
      </x:c>
      <x:c r="W267" s="8" t="str">
        <x:v>https://parks.portlandciviclab.org/parks/sellwood-riverfront-park-668</x:v>
      </x:c>
    </x:row>
    <x:row r="268" ht="23" customHeight="1">
      <x:c r="A268" s="7" t="str">
        <x:v>1224</x:v>
      </x:c>
      <x:c r="B268" s="7" t="str">
        <x:v>Senns Dairy Park</x:v>
      </x:c>
      <x:c r="C268" s="7" t="str">
        <x:v>developed-park</x:v>
      </x:c>
      <x:c r="D268" s="7" t="str">
        <x:v>District 1</x:v>
      </x:c>
      <x:c r="E268" s="19" t="n">
        <x:v>1.05963946</x:v>
      </x:c>
      <x:c r="F268" s="7" t="n">
        <x:v>1</x:v>
      </x:c>
      <x:c r="G268" s="7" t="n">
        <x:v>0</x:v>
      </x:c>
      <x:c r="H268" s="7" t="n">
        <x:v>1</x:v>
      </x:c>
      <x:c r="I268" s="7" t="n">
        <x:v>0</x:v>
      </x:c>
      <x:c r="J268" s="7" t="n">
        <x:v>0</x:v>
      </x:c>
      <x:c r="K268" s="7" t="n">
        <x:v>0</x:v>
      </x:c>
      <x:c r="L268" s="26" t="n">
        <x:f>F268*'Service inputs'!B65*'Service inputs'!C65</x:f>
        <x:v>547.5</x:v>
      </x:c>
      <x:c r="M268" s="26" t="n">
        <x:f>F268*E268*'Service inputs'!D65</x:f>
        <x:v>0.5828017030000001</x:v>
      </x:c>
      <x:c r="N268" s="26" t="n">
        <x:f>F268*E268*'Service inputs'!E65</x:f>
        <x:v>0.05298197300000001</x:v>
      </x:c>
      <x:c r="O268" s="26" t="n">
        <x:f>F268*E268*'Service inputs'!F65</x:f>
        <x:v>0.264909865</x:v>
      </x:c>
      <x:c r="P268" s="26" t="n">
        <x:f>L268+F268*G268*'Service inputs'!$B$17*'Service inputs'!$B$18*'Service inputs'!$B$19+M268*('Service inputs'!$B$20*'Service inputs'!$B$21+'Service inputs'!$B$22)+N268*'Service inputs'!$B$23+F268*(H268*'Service inputs'!$B$28*'Service inputs'!$B$29+I268*'Service inputs'!$B$24*'Service inputs'!$B$25+J268*'Service inputs'!$B$26*'Service inputs'!$B$27+K268*'Service inputs'!$B$30*'Service inputs'!$B$31)</x:f>
        <x:v>606.2622759290001</x:v>
      </x:c>
      <x:c r="Q268" s="26" t="n">
        <x:f>O268/SUM($O$5:$O$320)*SUMIF(Workload!$A$5:$A$40,"Ecology",Workload!$G$5:$G$40)</x:f>
        <x:v>2.780946607932195</x:v>
      </x:c>
      <x:c r="R268" s="27" t="n">
        <x:f>P268/SUMIF(Workload!$A$5:$A$40,"Grounds",Workload!$G$5:$G$40)*Staffing!$J$5+Q268/SUMIF(Workload!$A$5:$A$40,"Ecology",Workload!$G$5:$G$40)*Staffing!$J$7</x:f>
        <x:v>61938.62362623359</x:v>
      </x:c>
      <x:c r="S268" s="7" t="n">
        <x:v>24</x:v>
      </x:c>
      <x:c r="T268" s="23" t="n">
        <x:v>0.08333333333333333</x:v>
      </x:c>
      <x:c r="U268" s="7" t="n">
        <x:v>0</x:v>
      </x:c>
      <x:c r="V268" s="7" t="n">
        <x:v>0</x:v>
      </x:c>
      <x:c r="W268" s="7" t="str">
        <x:v>https://parks.portlandciviclab.org/parks/senns-dairy-park-1224</x:v>
      </x:c>
    </x:row>
    <x:row r="269" ht="23" customHeight="1">
      <x:c r="A269" s="8" t="str">
        <x:v>670</x:v>
      </x:c>
      <x:c r="B269" s="8" t="str">
        <x:v>Sewallcrest Park</x:v>
      </x:c>
      <x:c r="C269" s="8" t="str">
        <x:v>developed-park</x:v>
      </x:c>
      <x:c r="D269" s="8" t="str">
        <x:v>District 3</x:v>
      </x:c>
      <x:c r="E269" s="18" t="n">
        <x:v>4.91857263</x:v>
      </x:c>
      <x:c r="F269" s="8" t="n">
        <x:v>1</x:v>
      </x:c>
      <x:c r="G269" s="8" t="n">
        <x:v>0</x:v>
      </x:c>
      <x:c r="H269" s="8" t="n">
        <x:v>1</x:v>
      </x:c>
      <x:c r="I269" s="8" t="n">
        <x:v>3</x:v>
      </x:c>
      <x:c r="J269" s="8" t="n">
        <x:v>1</x:v>
      </x:c>
      <x:c r="K269" s="8" t="n">
        <x:v>0</x:v>
      </x:c>
      <x:c r="L269" s="24" t="n">
        <x:f>F269*'Service inputs'!B65*'Service inputs'!C65</x:f>
        <x:v>547.5</x:v>
      </x:c>
      <x:c r="M269" s="24" t="n">
        <x:f>F269*E269*'Service inputs'!D65</x:f>
        <x:v>2.7052149465</x:v>
      </x:c>
      <x:c r="N269" s="24" t="n">
        <x:f>F269*E269*'Service inputs'!E65</x:f>
        <x:v>0.2459286315</x:v>
      </x:c>
      <x:c r="O269" s="24" t="n">
        <x:f>F269*E269*'Service inputs'!F65</x:f>
        <x:v>1.2296431575</x:v>
      </x:c>
      <x:c r="P269" s="24" t="n">
        <x:f>L269+F269*G269*'Service inputs'!$B$17*'Service inputs'!$B$18*'Service inputs'!$B$19+M269*('Service inputs'!$B$20*'Service inputs'!$B$21+'Service inputs'!$B$22)+N269*'Service inputs'!$B$23+F269*(H269*'Service inputs'!$B$28*'Service inputs'!$B$29+I269*'Service inputs'!$B$24*'Service inputs'!$B$25+J269*'Service inputs'!$B$26*'Service inputs'!$B$27+K269*'Service inputs'!$B$30*'Service inputs'!$B$31)</x:f>
        <x:v>1011.2313795494999</x:v>
      </x:c>
      <x:c r="Q269" s="24" t="n">
        <x:f>O269/SUM($O$5:$O$320)*SUMIF(Workload!$A$5:$A$40,"Ecology",Workload!$G$5:$G$40)</x:f>
        <x:v>12.908435734609803</x:v>
      </x:c>
      <x:c r="R269" s="25" t="n">
        <x:f>P269/SUMIF(Workload!$A$5:$A$40,"Grounds",Workload!$G$5:$G$40)*Staffing!$J$5+Q269/SUMIF(Workload!$A$5:$A$40,"Ecology",Workload!$G$5:$G$40)*Staffing!$J$7</x:f>
        <x:v>104269.28992956626</x:v>
      </x:c>
      <x:c r="S269" s="8" t="n">
        <x:v>53</x:v>
      </x:c>
      <x:c r="T269" s="22" t="n">
        <x:v>0.39622641509433965</x:v>
      </x:c>
      <x:c r="U269" s="8" t="n">
        <x:v>4</x:v>
      </x:c>
      <x:c r="V269" s="8" t="n">
        <x:v>0</x:v>
      </x:c>
      <x:c r="W269" s="8" t="str">
        <x:v>https://parks.portlandciviclab.org/parks/sewallcrest-park-670</x:v>
      </x:c>
    </x:row>
    <x:row r="270" ht="23" customHeight="1">
      <x:c r="A270" s="7" t="str">
        <x:v>1335</x:v>
      </x:c>
      <x:c r="B270" s="7" t="str">
        <x:v>Simon and Helen Director Park</x:v>
      </x:c>
      <x:c r="C270" s="7" t="str">
        <x:v>developed-park</x:v>
      </x:c>
      <x:c r="D270" s="7" t="str">
        <x:v>District 4</x:v>
      </x:c>
      <x:c r="E270" s="19" t="n">
        <x:v>0.70666104</x:v>
      </x:c>
      <x:c r="F270" s="7" t="n">
        <x:v>1</x:v>
      </x:c>
      <x:c r="G270" s="7" t="n">
        <x:v>0</x:v>
      </x:c>
      <x:c r="H270" s="7" t="n">
        <x:v>0</x:v>
      </x:c>
      <x:c r="I270" s="7" t="n">
        <x:v>0</x:v>
      </x:c>
      <x:c r="J270" s="7" t="n">
        <x:v>0</x:v>
      </x:c>
      <x:c r="K270" s="7" t="n">
        <x:v>1</x:v>
      </x:c>
      <x:c r="L270" s="26" t="n">
        <x:f>F270*'Service inputs'!B65*'Service inputs'!C65</x:f>
        <x:v>547.5</x:v>
      </x:c>
      <x:c r="M270" s="26" t="n">
        <x:f>F270*E270*'Service inputs'!D65</x:f>
        <x:v>0.388663572</x:v>
      </x:c>
      <x:c r="N270" s="26" t="n">
        <x:f>F270*E270*'Service inputs'!E65</x:f>
        <x:v>0.035333052</x:v>
      </x:c>
      <x:c r="O270" s="26" t="n">
        <x:f>F270*E270*'Service inputs'!F65</x:f>
        <x:v>0.17666526</x:v>
      </x:c>
      <x:c r="P270" s="26" t="n">
        <x:f>L270+F270*G270*'Service inputs'!$B$17*'Service inputs'!$B$18*'Service inputs'!$B$19+M270*('Service inputs'!$B$20*'Service inputs'!$B$21+'Service inputs'!$B$22)+N270*'Service inputs'!$B$23+F270*(H270*'Service inputs'!$B$28*'Service inputs'!$B$29+I270*'Service inputs'!$B$24*'Service inputs'!$B$25+J270*'Service inputs'!$B$26*'Service inputs'!$B$27+K270*'Service inputs'!$B$30*'Service inputs'!$B$31)</x:f>
        <x:v>608.679228396</x:v>
      </x:c>
      <x:c r="Q270" s="26" t="n">
        <x:f>O270/SUM($O$5:$O$320)*SUMIF(Workload!$A$5:$A$40,"Ecology",Workload!$G$5:$G$40)</x:f>
        <x:v>1.8545804458299777</x:v>
      </x:c>
      <x:c r="R270" s="27" t="n">
        <x:f>P270/SUMIF(Workload!$A$5:$A$40,"Grounds",Workload!$G$5:$G$40)*Staffing!$J$5+Q270/SUMIF(Workload!$A$5:$A$40,"Ecology",Workload!$G$5:$G$40)*Staffing!$J$7</x:f>
        <x:v>62077.05582937717</x:v>
      </x:c>
      <x:c r="S270" s="7" t="n">
        <x:v>6</x:v>
      </x:c>
      <x:c r="T270" s="23" t="n">
        <x:v>0</x:v>
      </x:c>
      <x:c r="U270" s="7" t="n">
        <x:v>1</x:v>
      </x:c>
      <x:c r="V270" s="7" t="n">
        <x:v>1</x:v>
      </x:c>
      <x:c r="W270" s="7" t="str">
        <x:v>https://parks.portlandciviclab.org/parks/simon-and-helen-director-park-1335</x:v>
      </x:c>
    </x:row>
    <x:row r="271" ht="23" customHeight="1">
      <x:c r="A271" s="8" t="str">
        <x:v>674</x:v>
      </x:c>
      <x:c r="B271" s="8" t="str">
        <x:v>South Park Blocks</x:v>
      </x:c>
      <x:c r="C271" s="8" t="str">
        <x:v>developed-park</x:v>
      </x:c>
      <x:c r="D271" s="8" t="str">
        <x:v>District 4</x:v>
      </x:c>
      <x:c r="E271" s="18" t="n">
        <x:v>8.73071046</x:v>
      </x:c>
      <x:c r="F271" s="8" t="n">
        <x:v>1</x:v>
      </x:c>
      <x:c r="G271" s="8" t="n">
        <x:v>1</x:v>
      </x:c>
      <x:c r="H271" s="8" t="n">
        <x:v>1</x:v>
      </x:c>
      <x:c r="I271" s="8" t="n">
        <x:v>0</x:v>
      </x:c>
      <x:c r="J271" s="8" t="n">
        <x:v>0</x:v>
      </x:c>
      <x:c r="K271" s="8" t="n">
        <x:v>0</x:v>
      </x:c>
      <x:c r="L271" s="24" t="n">
        <x:f>F271*'Service inputs'!B65*'Service inputs'!C65</x:f>
        <x:v>547.5</x:v>
      </x:c>
      <x:c r="M271" s="24" t="n">
        <x:f>F271*E271*'Service inputs'!D65</x:f>
        <x:v>4.801890753</x:v>
      </x:c>
      <x:c r="N271" s="24" t="n">
        <x:f>F271*E271*'Service inputs'!E65</x:f>
        <x:v>0.436535523</x:v>
      </x:c>
      <x:c r="O271" s="24" t="n">
        <x:f>F271*E271*'Service inputs'!F65</x:f>
        <x:v>2.182677615</x:v>
      </x:c>
      <x:c r="P271" s="24" t="n">
        <x:f>L271+F271*G271*'Service inputs'!$B$17*'Service inputs'!$B$18*'Service inputs'!$B$19+M271*('Service inputs'!$B$20*'Service inputs'!$B$21+'Service inputs'!$B$22)+N271*'Service inputs'!$B$23+F271*(H271*'Service inputs'!$B$28*'Service inputs'!$B$29+I271*'Service inputs'!$B$24*'Service inputs'!$B$25+J271*'Service inputs'!$B$26*'Service inputs'!$B$27+K271*'Service inputs'!$B$30*'Service inputs'!$B$31)</x:f>
        <x:v>1071.077750079</x:v>
      </x:c>
      <x:c r="Q271" s="24" t="n">
        <x:f>O271/SUM($O$5:$O$320)*SUMIF(Workload!$A$5:$A$40,"Ecology",Workload!$G$5:$G$40)</x:f>
        <x:v>22.913113898736018</x:v>
      </x:c>
      <x:c r="R271" s="25" t="n">
        <x:f>P271/SUMIF(Workload!$A$5:$A$40,"Grounds",Workload!$G$5:$G$40)*Staffing!$J$5+Q271/SUMIF(Workload!$A$5:$A$40,"Ecology",Workload!$G$5:$G$40)*Staffing!$J$7</x:f>
        <x:v>111509.5881745531</x:v>
      </x:c>
      <x:c r="S271" s="8" t="n">
        <x:v>2</x:v>
      </x:c>
      <x:c r="T271" s="22" t="n">
        <x:v>0.5</x:v>
      </x:c>
      <x:c r="U271" s="8" t="n">
        <x:v>5</x:v>
      </x:c>
      <x:c r="V271" s="8" t="n">
        <x:v>1</x:v>
      </x:c>
      <x:c r="W271" s="8" t="str">
        <x:v>https://parks.portlandciviclab.org/parks/south-park-blocks-674</x:v>
      </x:c>
    </x:row>
    <x:row r="272" ht="23" customHeight="1">
      <x:c r="A272" s="7" t="str">
        <x:v>1411</x:v>
      </x:c>
      <x:c r="B272" s="7" t="str">
        <x:v>South Waterfront Greenway Central District</x:v>
      </x:c>
      <x:c r="C272" s="7" t="str">
        <x:v>corridor</x:v>
      </x:c>
      <x:c r="D272" s="7" t="str">
        <x:v>District 4</x:v>
      </x:c>
      <x:c r="E272" s="19" t="n">
        <x:v>4.35762237</x:v>
      </x:c>
      <x:c r="F272" s="7" t="n">
        <x:v>1</x:v>
      </x:c>
      <x:c r="G272" s="7" t="n">
        <x:v>0</x:v>
      </x:c>
      <x:c r="H272" s="7" t="n">
        <x:v>0</x:v>
      </x:c>
      <x:c r="I272" s="7" t="n">
        <x:v>0</x:v>
      </x:c>
      <x:c r="J272" s="7" t="n">
        <x:v>0</x:v>
      </x:c>
      <x:c r="K272" s="7" t="n">
        <x:v>0</x:v>
      </x:c>
      <x:c r="L272" s="26" t="n">
        <x:f>F272*'Service inputs'!B70*'Service inputs'!C70</x:f>
        <x:v>104</x:v>
      </x:c>
      <x:c r="M272" s="26" t="n">
        <x:f>F272*E272*'Service inputs'!D70</x:f>
        <x:v>0.13072867109999997</x:v>
      </x:c>
      <x:c r="N272" s="26" t="n">
        <x:f>F272*E272*'Service inputs'!E70</x:f>
        <x:v>0.0435762237</x:v>
      </x:c>
      <x:c r="O272" s="26" t="n">
        <x:f>F272*E272*'Service inputs'!F70</x:f>
        <x:v>3.7039790144999998</x:v>
      </x:c>
      <x:c r="P272" s="26" t="n">
        <x:f>L272+F272*G272*'Service inputs'!$B$17*'Service inputs'!$B$18*'Service inputs'!$B$19+M272*('Service inputs'!$B$20*'Service inputs'!$B$21+'Service inputs'!$B$22)+N272*'Service inputs'!$B$23+F272*(H272*'Service inputs'!$B$28*'Service inputs'!$B$29+I272*'Service inputs'!$B$24*'Service inputs'!$B$25+J272*'Service inputs'!$B$26*'Service inputs'!$B$27+K272*'Service inputs'!$B$30*'Service inputs'!$B$31)</x:f>
        <x:v>112.2359062793</x:v>
      </x:c>
      <x:c r="Q272" s="26" t="n">
        <x:f>O272/SUM($O$5:$O$320)*SUMIF(Workload!$A$5:$A$40,"Ecology",Workload!$G$5:$G$40)</x:f>
        <x:v>38.883292912575406</x:v>
      </x:c>
      <x:c r="R272" s="27" t="n">
        <x:f>P272/SUMIF(Workload!$A$5:$A$40,"Grounds",Workload!$G$5:$G$40)*Staffing!$J$5+Q272/SUMIF(Workload!$A$5:$A$40,"Ecology",Workload!$G$5:$G$40)*Staffing!$J$7</x:f>
        <x:v>15907.084519894048</x:v>
      </x:c>
      <x:c r="S272" s="7" t="n">
        <x:v>92</x:v>
      </x:c>
      <x:c r="T272" s="23" t="n">
        <x:v>0</x:v>
      </x:c>
      <x:c r="U272" s="7" t="n">
        <x:v>0</x:v>
      </x:c>
      <x:c r="V272" s="7" t="n">
        <x:v>0</x:v>
      </x:c>
      <x:c r="W272" s="7" t="str">
        <x:v>https://parks.portlandciviclab.org/parks/south-waterfront-greenway-central-district-1411</x:v>
      </x:c>
    </x:row>
    <x:row r="273" ht="23" customHeight="1">
      <x:c r="A273" s="8" t="str">
        <x:v>916</x:v>
      </x:c>
      <x:c r="B273" s="8" t="str">
        <x:v>South Waterfront Park</x:v>
      </x:c>
      <x:c r="C273" s="8" t="str">
        <x:v>developed-park</x:v>
      </x:c>
      <x:c r="D273" s="8" t="str">
        <x:v>District 4</x:v>
      </x:c>
      <x:c r="E273" s="18" t="n">
        <x:v>4.51550007</x:v>
      </x:c>
      <x:c r="F273" s="8" t="n">
        <x:v>1</x:v>
      </x:c>
      <x:c r="G273" s="8" t="n">
        <x:v>1</x:v>
      </x:c>
      <x:c r="H273" s="8" t="n">
        <x:v>0</x:v>
      </x:c>
      <x:c r="I273" s="8" t="n">
        <x:v>0</x:v>
      </x:c>
      <x:c r="J273" s="8" t="n">
        <x:v>0</x:v>
      </x:c>
      <x:c r="K273" s="8" t="n">
        <x:v>0</x:v>
      </x:c>
      <x:c r="L273" s="24" t="n">
        <x:f>F273*'Service inputs'!B65*'Service inputs'!C65</x:f>
        <x:v>547.5</x:v>
      </x:c>
      <x:c r="M273" s="24" t="n">
        <x:f>F273*E273*'Service inputs'!D65</x:f>
        <x:v>2.4835250385000003</x:v>
      </x:c>
      <x:c r="N273" s="24" t="n">
        <x:f>F273*E273*'Service inputs'!E65</x:f>
        <x:v>0.22577500350000002</x:v>
      </x:c>
      <x:c r="O273" s="24" t="n">
        <x:f>F273*E273*'Service inputs'!F65</x:f>
        <x:v>1.1288750175</x:v>
      </x:c>
      <x:c r="P273" s="24" t="n">
        <x:f>L273+F273*G273*'Service inputs'!$B$17*'Service inputs'!$B$18*'Service inputs'!$B$19+M273*('Service inputs'!$B$20*'Service inputs'!$B$21+'Service inputs'!$B$22)+N273*'Service inputs'!$B$23+F273*(H273*'Service inputs'!$B$28*'Service inputs'!$B$29+I273*'Service inputs'!$B$24*'Service inputs'!$B$25+J273*'Service inputs'!$B$26*'Service inputs'!$B$27+K273*'Service inputs'!$B$30*'Service inputs'!$B$31)</x:f>
        <x:v>953.4640763054999</x:v>
      </x:c>
      <x:c r="Q273" s="24" t="n">
        <x:f>O273/SUM($O$5:$O$320)*SUMIF(Workload!$A$5:$A$40,"Ecology",Workload!$G$5:$G$40)</x:f>
        <x:v>11.850601149549572</x:v>
      </x:c>
      <x:c r="R273" s="25" t="n">
        <x:f>P273/SUMIF(Workload!$A$5:$A$40,"Grounds",Workload!$G$5:$G$40)*Staffing!$J$5+Q273/SUMIF(Workload!$A$5:$A$40,"Ecology",Workload!$G$5:$G$40)*Staffing!$J$7</x:f>
        <x:v>98275.74870852781</x:v>
      </x:c>
      <x:c r="S273" s="8" t="n">
        <x:v>126</x:v>
      </x:c>
      <x:c r="T273" s="22" t="n">
        <x:v>0.07142857142857142</x:v>
      </x:c>
      <x:c r="U273" s="8" t="n">
        <x:v>1</x:v>
      </x:c>
      <x:c r="V273" s="8" t="n">
        <x:v>0</x:v>
      </x:c>
      <x:c r="W273" s="8" t="str">
        <x:v>https://parks.portlandciviclab.org/parks/south-waterfront-park-916</x:v>
      </x:c>
    </x:row>
    <x:row r="274" ht="23" customHeight="1">
      <x:c r="A274" s="7" t="str">
        <x:v>678</x:v>
      </x:c>
      <x:c r="B274" s="7" t="str">
        <x:v>Spring Garden Park</x:v>
      </x:c>
      <x:c r="C274" s="7" t="str">
        <x:v>developed-park</x:v>
      </x:c>
      <x:c r="D274" s="7" t="str">
        <x:v>District 4</x:v>
      </x:c>
      <x:c r="E274" s="19" t="n">
        <x:v>4.56447506</x:v>
      </x:c>
      <x:c r="F274" s="7" t="n">
        <x:v>1</x:v>
      </x:c>
      <x:c r="G274" s="7" t="n">
        <x:v>1</x:v>
      </x:c>
      <x:c r="H274" s="7" t="n">
        <x:v>1</x:v>
      </x:c>
      <x:c r="I274" s="7" t="n">
        <x:v>0</x:v>
      </x:c>
      <x:c r="J274" s="7" t="n">
        <x:v>0</x:v>
      </x:c>
      <x:c r="K274" s="7" t="n">
        <x:v>1</x:v>
      </x:c>
      <x:c r="L274" s="26" t="n">
        <x:f>F274*'Service inputs'!B65*'Service inputs'!C65</x:f>
        <x:v>547.5</x:v>
      </x:c>
      <x:c r="M274" s="26" t="n">
        <x:f>F274*E274*'Service inputs'!D65</x:f>
        <x:v>2.5104612830000006</x:v>
      </x:c>
      <x:c r="N274" s="26" t="n">
        <x:f>F274*E274*'Service inputs'!E65</x:f>
        <x:v>0.22822375300000003</x:v>
      </x:c>
      <x:c r="O274" s="26" t="n">
        <x:f>F274*E274*'Service inputs'!F65</x:f>
        <x:v>1.141118765</x:v>
      </x:c>
      <x:c r="P274" s="26" t="n">
        <x:f>L274+F274*G274*'Service inputs'!$B$17*'Service inputs'!$B$18*'Service inputs'!$B$19+M274*('Service inputs'!$B$20*'Service inputs'!$B$21+'Service inputs'!$B$22)+N274*'Service inputs'!$B$23+F274*(H274*'Service inputs'!$B$28*'Service inputs'!$B$29+I274*'Service inputs'!$B$24*'Service inputs'!$B$25+J274*'Service inputs'!$B$26*'Service inputs'!$B$27+K274*'Service inputs'!$B$30*'Service inputs'!$B$31)</x:f>
        <x:v>1041.3774598690002</x:v>
      </x:c>
      <x:c r="Q274" s="26" t="n">
        <x:f>O274/SUM($O$5:$O$320)*SUMIF(Workload!$A$5:$A$40,"Ecology",Workload!$G$5:$G$40)</x:f>
        <x:v>11.979132444820527</x:v>
      </x:c>
      <x:c r="R274" s="27" t="n">
        <x:f>P274/SUMIF(Workload!$A$5:$A$40,"Grounds",Workload!$G$5:$G$40)*Staffing!$J$5+Q274/SUMIF(Workload!$A$5:$A$40,"Ecology",Workload!$G$5:$G$40)*Staffing!$J$7</x:f>
        <x:v>107225.60043513853</x:v>
      </x:c>
      <x:c r="S274" s="7" t="n">
        <x:v>85</x:v>
      </x:c>
      <x:c r="T274" s="23" t="n">
        <x:v>0.1411764705882353</x:v>
      </x:c>
      <x:c r="U274" s="7" t="n">
        <x:v>0</x:v>
      </x:c>
      <x:c r="V274" s="7" t="n">
        <x:v>1</x:v>
      </x:c>
      <x:c r="W274" s="7" t="str">
        <x:v>https://parks.portlandciviclab.org/parks/spring-garden-park-678</x:v>
      </x:c>
    </x:row>
    <x:row r="275" ht="23" customHeight="1">
      <x:c r="A275" s="8" t="str">
        <x:v>679</x:v>
      </x:c>
      <x:c r="B275" s="8" t="str">
        <x:v>Springwater Corridor</x:v>
      </x:c>
      <x:c r="C275" s="8" t="str">
        <x:v>corridor</x:v>
      </x:c>
      <x:c r="D275" s="8" t="str">
        <x:v>District 1</x:v>
      </x:c>
      <x:c r="E275" s="18" t="n">
        <x:v>263.28269115</x:v>
      </x:c>
      <x:c r="F275" s="8" t="n">
        <x:v>1</x:v>
      </x:c>
      <x:c r="G275" s="8" t="n">
        <x:v>1</x:v>
      </x:c>
      <x:c r="H275" s="8" t="n">
        <x:v>0</x:v>
      </x:c>
      <x:c r="I275" s="8" t="n">
        <x:v>0</x:v>
      </x:c>
      <x:c r="J275" s="8" t="n">
        <x:v>0</x:v>
      </x:c>
      <x:c r="K275" s="8" t="n">
        <x:v>0</x:v>
      </x:c>
      <x:c r="L275" s="24" t="n">
        <x:f>F275*'Service inputs'!B70*'Service inputs'!C70</x:f>
        <x:v>104</x:v>
      </x:c>
      <x:c r="M275" s="24" t="n">
        <x:f>F275*E275*'Service inputs'!D70</x:f>
        <x:v>7.8984807345</x:v>
      </x:c>
      <x:c r="N275" s="24" t="n">
        <x:f>F275*E275*'Service inputs'!E70</x:f>
        <x:v>2.6328269115</x:v>
      </x:c>
      <x:c r="O275" s="24" t="n">
        <x:f>F275*E275*'Service inputs'!F70</x:f>
        <x:v>223.7902874775</x:v>
      </x:c>
      <x:c r="P275" s="24" t="n">
        <x:f>L275+F275*G275*'Service inputs'!$B$17*'Service inputs'!$B$18*'Service inputs'!$B$19+M275*('Service inputs'!$B$20*'Service inputs'!$B$21+'Service inputs'!$B$22)+N275*'Service inputs'!$B$23+F275*(H275*'Service inputs'!$B$28*'Service inputs'!$B$29+I275*'Service inputs'!$B$24*'Service inputs'!$B$25+J275*'Service inputs'!$B$26*'Service inputs'!$B$27+K275*'Service inputs'!$B$30*'Service inputs'!$B$31)</x:f>
        <x:v>923.3542862735</x:v>
      </x:c>
      <x:c r="Q275" s="24" t="n">
        <x:f>O275/SUM($O$5:$O$320)*SUMIF(Workload!$A$5:$A$40,"Ecology",Workload!$G$5:$G$40)</x:f>
        <x:v>2349.285259153049</x:v>
      </x:c>
      <x:c r="R275" s="25" t="n">
        <x:f>P275/SUMIF(Workload!$A$5:$A$40,"Grounds",Workload!$G$5:$G$40)*Staffing!$J$5+Q275/SUMIF(Workload!$A$5:$A$40,"Ecology",Workload!$G$5:$G$40)*Staffing!$J$7</x:f>
        <x:v>365736.08082007454</x:v>
      </x:c>
      <x:c r="S275" s="8" t="n">
        <x:v>4</x:v>
      </x:c>
      <x:c r="T275" s="22" t="n">
        <x:v>0.5</x:v>
      </x:c>
      <x:c r="U275" s="8" t="n">
        <x:v>0</x:v>
      </x:c>
      <x:c r="V275" s="8" t="n">
        <x:v>0</x:v>
      </x:c>
      <x:c r="W275" s="8" t="str">
        <x:v>https://parks.portlandciviclab.org/parks/springwater-corridor-679</x:v>
      </x:c>
    </x:row>
    <x:row r="276" ht="23" customHeight="1">
      <x:c r="A276" s="7" t="str">
        <x:v>681</x:v>
      </x:c>
      <x:c r="B276" s="7" t="str">
        <x:v>St Johns Park</x:v>
      </x:c>
      <x:c r="C276" s="7" t="str">
        <x:v>developed-park</x:v>
      </x:c>
      <x:c r="D276" s="7" t="str">
        <x:v>District 2</x:v>
      </x:c>
      <x:c r="E276" s="19" t="n">
        <x:v>5.87292322</x:v>
      </x:c>
      <x:c r="F276" s="7" t="n">
        <x:v>1</x:v>
      </x:c>
      <x:c r="G276" s="7" t="n">
        <x:v>0</x:v>
      </x:c>
      <x:c r="H276" s="7" t="n">
        <x:v>1</x:v>
      </x:c>
      <x:c r="I276" s="7" t="n">
        <x:v>3</x:v>
      </x:c>
      <x:c r="J276" s="7" t="n">
        <x:v>1</x:v>
      </x:c>
      <x:c r="K276" s="7" t="n">
        <x:v>0</x:v>
      </x:c>
      <x:c r="L276" s="26" t="n">
        <x:f>F276*'Service inputs'!B65*'Service inputs'!C65</x:f>
        <x:v>547.5</x:v>
      </x:c>
      <x:c r="M276" s="26" t="n">
        <x:f>F276*E276*'Service inputs'!D65</x:f>
        <x:v>3.230107771</x:v>
      </x:c>
      <x:c r="N276" s="26" t="n">
        <x:f>F276*E276*'Service inputs'!E65</x:f>
        <x:v>0.293646161</x:v>
      </x:c>
      <x:c r="O276" s="26" t="n">
        <x:f>F276*E276*'Service inputs'!F65</x:f>
        <x:v>1.468230805</x:v>
      </x:c>
      <x:c r="P276" s="26" t="n">
        <x:f>L276+F276*G276*'Service inputs'!$B$17*'Service inputs'!$B$18*'Service inputs'!$B$19+M276*('Service inputs'!$B$20*'Service inputs'!$B$21+'Service inputs'!$B$22)+N276*'Service inputs'!$B$23+F276*(H276*'Service inputs'!$B$28*'Service inputs'!$B$29+I276*'Service inputs'!$B$24*'Service inputs'!$B$25+J276*'Service inputs'!$B$26*'Service inputs'!$B$27+K276*'Service inputs'!$B$30*'Service inputs'!$B$31)</x:f>
        <x:v>1029.030018053</x:v>
      </x:c>
      <x:c r="Q276" s="26" t="n">
        <x:f>O276/SUM($O$5:$O$320)*SUMIF(Workload!$A$5:$A$40,"Ecology",Workload!$G$5:$G$40)</x:f>
        <x:v>15.413059369556908</x:v>
      </x:c>
      <x:c r="R276" s="27" t="n">
        <x:f>P276/SUMIF(Workload!$A$5:$A$40,"Grounds",Workload!$G$5:$G$40)*Staffing!$J$5+Q276/SUMIF(Workload!$A$5:$A$40,"Ecology",Workload!$G$5:$G$40)*Staffing!$J$7</x:f>
        <x:v>106368.10416237228</x:v>
      </x:c>
      <x:c r="S276" s="7" t="n">
        <x:v>44</x:v>
      </x:c>
      <x:c r="T276" s="23" t="n">
        <x:v>0.09090909090909091</x:v>
      </x:c>
      <x:c r="U276" s="7" t="n">
        <x:v>0</x:v>
      </x:c>
      <x:c r="V276" s="7" t="n">
        <x:v>0</x:v>
      </x:c>
      <x:c r="W276" s="7" t="str">
        <x:v>https://parks.portlandciviclab.org/parks/st-johns-park-681</x:v>
      </x:c>
    </x:row>
    <x:row r="277" ht="23" customHeight="1">
      <x:c r="A277" s="8" t="str">
        <x:v>682</x:v>
      </x:c>
      <x:c r="B277" s="8" t="str">
        <x:v>St Johns Racquet Center</x:v>
      </x:c>
      <x:c r="C277" s="8" t="str">
        <x:v>facility-site</x:v>
      </x:c>
      <x:c r="D277" s="8" t="str">
        <x:v>District 2</x:v>
      </x:c>
      <x:c r="E277" s="18" t="n">
        <x:v>1.25033408</x:v>
      </x:c>
      <x:c r="F277" s="8" t="n">
        <x:v>1</x:v>
      </x:c>
      <x:c r="G277" s="8" t="n">
        <x:v>0</x:v>
      </x:c>
      <x:c r="H277" s="8" t="n">
        <x:v>0</x:v>
      </x:c>
      <x:c r="I277" s="8" t="n">
        <x:v>0</x:v>
      </x:c>
      <x:c r="J277" s="8" t="n">
        <x:v>3</x:v>
      </x:c>
      <x:c r="K277" s="8" t="n">
        <x:v>0</x:v>
      </x:c>
      <x:c r="L277" s="24" t="n">
        <x:f>F277*'Service inputs'!B69*'Service inputs'!C69</x:f>
        <x:v>260</x:v>
      </x:c>
      <x:c r="M277" s="24" t="n">
        <x:f>F277*E277*'Service inputs'!D69</x:f>
        <x:v>0.125033408</x:v>
      </x:c>
      <x:c r="N277" s="24" t="n">
        <x:f>F277*E277*'Service inputs'!E69</x:f>
        <x:v>0.125033408</x:v>
      </x:c>
      <x:c r="O277" s="24" t="n">
        <x:f>F277*E277*'Service inputs'!F69</x:f>
        <x:v>0</x:v>
      </x:c>
      <x:c r="P277" s="24" t="n">
        <x:f>L277+F277*G277*'Service inputs'!$B$17*'Service inputs'!$B$18*'Service inputs'!$B$19+M277*('Service inputs'!$B$20*'Service inputs'!$B$21+'Service inputs'!$B$22)+N277*'Service inputs'!$B$23+F277*(H277*'Service inputs'!$B$28*'Service inputs'!$B$29+I277*'Service inputs'!$B$24*'Service inputs'!$B$25+J277*'Service inputs'!$B$26*'Service inputs'!$B$27+K277*'Service inputs'!$B$30*'Service inputs'!$B$31)</x:f>
        <x:v>331.87977734400005</x:v>
      </x:c>
      <x:c r="Q277" s="24" t="n">
        <x:f>O277/SUM($O$5:$O$320)*SUMIF(Workload!$A$5:$A$40,"Ecology",Workload!$G$5:$G$40)</x:f>
        <x:v>0</x:v>
      </x:c>
      <x:c r="R277" s="25" t="n">
        <x:f>P277/SUMIF(Workload!$A$5:$A$40,"Grounds",Workload!$G$5:$G$40)*Staffing!$J$5+Q277/SUMIF(Workload!$A$5:$A$40,"Ecology",Workload!$G$5:$G$40)*Staffing!$J$7</x:f>
        <x:v>33730.22198583267</x:v>
      </x:c>
      <x:c r="S277" s="8" t="n">
        <x:v>10</x:v>
      </x:c>
      <x:c r="T277" s="22" t="n">
        <x:v>0.2</x:v>
      </x:c>
      <x:c r="U277" s="8" t="n">
        <x:v>0</x:v>
      </x:c>
      <x:c r="V277" s="8" t="n">
        <x:v>1</x:v>
      </x:c>
      <x:c r="W277" s="8" t="str">
        <x:v>https://parks.portlandciviclab.org/parks/st-johns-racquet-center-682</x:v>
      </x:c>
    </x:row>
    <x:row r="278" ht="23" customHeight="1">
      <x:c r="A278" s="7" t="str">
        <x:v>917</x:v>
      </x:c>
      <x:c r="B278" s="7" t="str">
        <x:v>Stark Street Island</x:v>
      </x:c>
      <x:c r="C278" s="7" t="str">
        <x:v>natural-area</x:v>
      </x:c>
      <x:c r="D278" s="7" t="str">
        <x:v>District 1</x:v>
      </x:c>
      <x:c r="E278" s="19" t="n">
        <x:v>0.41101326</x:v>
      </x:c>
      <x:c r="F278" s="7" t="n">
        <x:v>1</x:v>
      </x:c>
      <x:c r="G278" s="7" t="n">
        <x:v>0</x:v>
      </x:c>
      <x:c r="H278" s="7" t="n">
        <x:v>0</x:v>
      </x:c>
      <x:c r="I278" s="7" t="n">
        <x:v>0</x:v>
      </x:c>
      <x:c r="J278" s="7" t="n">
        <x:v>0</x:v>
      </x:c>
      <x:c r="K278" s="7" t="n">
        <x:v>0</x:v>
      </x:c>
      <x:c r="L278" s="26" t="n">
        <x:f>F278*'Service inputs'!B66*'Service inputs'!C66</x:f>
        <x:v>78</x:v>
      </x:c>
      <x:c r="M278" s="26" t="n">
        <x:f>F278*E278*'Service inputs'!D66</x:f>
        <x:v>0.0020550663</x:v>
      </x:c>
      <x:c r="N278" s="26" t="n">
        <x:f>F278*E278*'Service inputs'!E66</x:f>
        <x:v>0</x:v>
      </x:c>
      <x:c r="O278" s="26" t="n">
        <x:f>F278*E278*'Service inputs'!F66</x:f>
        <x:v>0.4069031274</x:v>
      </x:c>
      <x:c r="P278" s="26" t="n">
        <x:f>L278+F278*G278*'Service inputs'!$B$17*'Service inputs'!$B$18*'Service inputs'!$B$19+M278*('Service inputs'!$B$20*'Service inputs'!$B$21+'Service inputs'!$B$22)+N278*'Service inputs'!$B$23+F278*(H278*'Service inputs'!$B$28*'Service inputs'!$B$29+I278*'Service inputs'!$B$24*'Service inputs'!$B$25+J278*'Service inputs'!$B$26*'Service inputs'!$B$27+K278*'Service inputs'!$B$30*'Service inputs'!$B$31)</x:f>
        <x:v>78.0472665249</x:v>
      </x:c>
      <x:c r="Q278" s="26" t="n">
        <x:f>O278/SUM($O$5:$O$320)*SUMIF(Workload!$A$5:$A$40,"Ecology",Workload!$G$5:$G$40)</x:f>
        <x:v>4.2715505211556835</x:v>
      </x:c>
      <x:c r="R278" s="27" t="n">
        <x:f>P278/SUMIF(Workload!$A$5:$A$40,"Grounds",Workload!$G$5:$G$40)*Staffing!$J$5+Q278/SUMIF(Workload!$A$5:$A$40,"Ecology",Workload!$G$5:$G$40)*Staffing!$J$7</x:f>
        <x:v>8426.608103501048</x:v>
      </x:c>
      <x:c r="S278" s="7" t="n">
        <x:v>19</x:v>
      </x:c>
      <x:c r="T278" s="23" t="n">
        <x:v>0.10526315789473684</x:v>
      </x:c>
      <x:c r="U278" s="7" t="n">
        <x:v>0</x:v>
      </x:c>
      <x:c r="V278" s="7" t="n">
        <x:v>0</x:v>
      </x:c>
      <x:c r="W278" s="7" t="str">
        <x:v>https://parks.portlandciviclab.org/parks/stark-street-island-917</x:v>
      </x:c>
    </x:row>
    <x:row r="279" ht="23" customHeight="1">
      <x:c r="A279" s="8" t="str">
        <x:v>711</x:v>
      </x:c>
      <x:c r="B279" s="8" t="str">
        <x:v>Stephens Creek Natural Area</x:v>
      </x:c>
      <x:c r="C279" s="8" t="str">
        <x:v>natural-area</x:v>
      </x:c>
      <x:c r="D279" s="8" t="str">
        <x:v>District 4</x:v>
      </x:c>
      <x:c r="E279" s="18" t="n">
        <x:v>4.73026276</x:v>
      </x:c>
      <x:c r="F279" s="8" t="n">
        <x:v>1</x:v>
      </x:c>
      <x:c r="G279" s="8" t="n">
        <x:v>0</x:v>
      </x:c>
      <x:c r="H279" s="8" t="n">
        <x:v>0</x:v>
      </x:c>
      <x:c r="I279" s="8" t="n">
        <x:v>0</x:v>
      </x:c>
      <x:c r="J279" s="8" t="n">
        <x:v>0</x:v>
      </x:c>
      <x:c r="K279" s="8" t="n">
        <x:v>0</x:v>
      </x:c>
      <x:c r="L279" s="24" t="n">
        <x:f>F279*'Service inputs'!B66*'Service inputs'!C66</x:f>
        <x:v>78</x:v>
      </x:c>
      <x:c r="M279" s="24" t="n">
        <x:f>F279*E279*'Service inputs'!D66</x:f>
        <x:v>0.023651313799999997</x:v>
      </x:c>
      <x:c r="N279" s="24" t="n">
        <x:f>F279*E279*'Service inputs'!E66</x:f>
        <x:v>0</x:v>
      </x:c>
      <x:c r="O279" s="24" t="n">
        <x:f>F279*E279*'Service inputs'!F66</x:f>
        <x:v>4.6829601324</x:v>
      </x:c>
      <x:c r="P279" s="24" t="n">
        <x:f>L279+F279*G279*'Service inputs'!$B$17*'Service inputs'!$B$18*'Service inputs'!$B$19+M279*('Service inputs'!$B$20*'Service inputs'!$B$21+'Service inputs'!$B$22)+N279*'Service inputs'!$B$23+F279*(H279*'Service inputs'!$B$28*'Service inputs'!$B$29+I279*'Service inputs'!$B$24*'Service inputs'!$B$25+J279*'Service inputs'!$B$26*'Service inputs'!$B$27+K279*'Service inputs'!$B$30*'Service inputs'!$B$31)</x:f>
        <x:v>78.5439802174</x:v>
      </x:c>
      <x:c r="Q279" s="24" t="n">
        <x:f>O279/SUM($O$5:$O$320)*SUMIF(Workload!$A$5:$A$40,"Ecology",Workload!$G$5:$G$40)</x:f>
        <x:v>49.160351560631696</x:v>
      </x:c>
      <x:c r="R279" s="25" t="n">
        <x:f>P279/SUMIF(Workload!$A$5:$A$40,"Grounds",Workload!$G$5:$G$40)*Staffing!$J$5+Q279/SUMIF(Workload!$A$5:$A$40,"Ecology",Workload!$G$5:$G$40)*Staffing!$J$7</x:f>
        <x:v>13672.24852635735</x:v>
      </x:c>
      <x:c r="S279" s="8" t="n">
        <x:v>2</x:v>
      </x:c>
      <x:c r="T279" s="22" t="n">
        <x:v>0</x:v>
      </x:c>
      <x:c r="U279" s="8" t="n">
        <x:v>0</x:v>
      </x:c>
      <x:c r="V279" s="8" t="n">
        <x:v>0</x:v>
      </x:c>
      <x:c r="W279" s="8" t="str">
        <x:v>https://parks.portlandciviclab.org/parks/stephens-creek-natural-area-711</x:v>
      </x:c>
    </x:row>
    <x:row r="280" ht="23" customHeight="1">
      <x:c r="A280" s="7" t="str">
        <x:v>714</x:v>
      </x:c>
      <x:c r="B280" s="7" t="str">
        <x:v>Sumner-Albina Park</x:v>
      </x:c>
      <x:c r="C280" s="7" t="str">
        <x:v>developed-park</x:v>
      </x:c>
      <x:c r="D280" s="7" t="str">
        <x:v>District 2</x:v>
      </x:c>
      <x:c r="E280" s="19" t="n">
        <x:v>0.08151607</x:v>
      </x:c>
      <x:c r="F280" s="7" t="n">
        <x:v>1</x:v>
      </x:c>
      <x:c r="G280" s="7" t="n">
        <x:v>0</x:v>
      </x:c>
      <x:c r="H280" s="7" t="n">
        <x:v>0</x:v>
      </x:c>
      <x:c r="I280" s="7" t="n">
        <x:v>0</x:v>
      </x:c>
      <x:c r="J280" s="7" t="n">
        <x:v>0</x:v>
      </x:c>
      <x:c r="K280" s="7" t="n">
        <x:v>0</x:v>
      </x:c>
      <x:c r="L280" s="26" t="n">
        <x:f>F280*'Service inputs'!B65*'Service inputs'!C65</x:f>
        <x:v>547.5</x:v>
      </x:c>
      <x:c r="M280" s="26" t="n">
        <x:f>F280*E280*'Service inputs'!D65</x:f>
        <x:v>0.0448338385</x:v>
      </x:c>
      <x:c r="N280" s="26" t="n">
        <x:f>F280*E280*'Service inputs'!E65</x:f>
        <x:v>0.0040758035</x:v>
      </x:c>
      <x:c r="O280" s="26" t="n">
        <x:f>F280*E280*'Service inputs'!F65</x:f>
        <x:v>0.0203790175</x:v>
      </x:c>
      <x:c r="P280" s="26" t="n">
        <x:f>L280+F280*G280*'Service inputs'!$B$17*'Service inputs'!$B$18*'Service inputs'!$B$19+M280*('Service inputs'!$B$20*'Service inputs'!$B$21+'Service inputs'!$B$22)+N280*'Service inputs'!$B$23+F280*(H280*'Service inputs'!$B$28*'Service inputs'!$B$29+I280*'Service inputs'!$B$24*'Service inputs'!$B$25+J280*'Service inputs'!$B$26*'Service inputs'!$B$27+K280*'Service inputs'!$B$30*'Service inputs'!$B$31)</x:f>
        <x:v>549.0202747055</x:v>
      </x:c>
      <x:c r="Q280" s="26" t="n">
        <x:f>O280/SUM($O$5:$O$320)*SUMIF(Workload!$A$5:$A$40,"Ecology",Workload!$G$5:$G$40)</x:f>
        <x:v>0.21393299033849053</x:v>
      </x:c>
      <x:c r="R280" s="27" t="n">
        <x:f>P280/SUMIF(Workload!$A$5:$A$40,"Grounds",Workload!$G$5:$G$40)*Staffing!$J$5+Q280/SUMIF(Workload!$A$5:$A$40,"Ecology",Workload!$G$5:$G$40)*Staffing!$J$7</x:f>
        <x:v>55823.80765075944</x:v>
      </x:c>
      <x:c r="S280" s="7" t="n">
        <x:v>5</x:v>
      </x:c>
      <x:c r="T280" s="23" t="n">
        <x:v>0.8</x:v>
      </x:c>
      <x:c r="U280" s="7" t="n">
        <x:v>0</x:v>
      </x:c>
      <x:c r="V280" s="7" t="n">
        <x:v>0</x:v>
      </x:c>
      <x:c r="W280" s="7" t="str">
        <x:v>https://parks.portlandciviclab.org/parks/sumner-albina-park-714</x:v>
      </x:c>
    </x:row>
    <x:row r="281" ht="23" customHeight="1">
      <x:c r="A281" s="8" t="str">
        <x:v>715</x:v>
      </x:c>
      <x:c r="B281" s="8" t="str">
        <x:v>Sunnyside School Park</x:v>
      </x:c>
      <x:c r="C281" s="8" t="str">
        <x:v>developed-park</x:v>
      </x:c>
      <x:c r="D281" s="8" t="str">
        <x:v>District 3</x:v>
      </x:c>
      <x:c r="E281" s="18" t="n">
        <x:v>1.64795564</x:v>
      </x:c>
      <x:c r="F281" s="8" t="n">
        <x:v>1</x:v>
      </x:c>
      <x:c r="G281" s="8" t="n">
        <x:v>0</x:v>
      </x:c>
      <x:c r="H281" s="8" t="n">
        <x:v>1</x:v>
      </x:c>
      <x:c r="I281" s="8" t="n">
        <x:v>2</x:v>
      </x:c>
      <x:c r="J281" s="8" t="n">
        <x:v>1</x:v>
      </x:c>
      <x:c r="K281" s="8" t="n">
        <x:v>0</x:v>
      </x:c>
      <x:c r="L281" s="24" t="n">
        <x:f>F281*'Service inputs'!B65*'Service inputs'!C65</x:f>
        <x:v>547.5</x:v>
      </x:c>
      <x:c r="M281" s="24" t="n">
        <x:f>F281*E281*'Service inputs'!D65</x:f>
        <x:v>0.906375602</x:v>
      </x:c>
      <x:c r="N281" s="24" t="n">
        <x:f>F281*E281*'Service inputs'!E65</x:f>
        <x:v>0.082397782</x:v>
      </x:c>
      <x:c r="O281" s="24" t="n">
        <x:f>F281*E281*'Service inputs'!F65</x:f>
        <x:v>0.41198891</x:v>
      </x:c>
      <x:c r="P281" s="24" t="n">
        <x:f>L281+F281*G281*'Service inputs'!$B$17*'Service inputs'!$B$18*'Service inputs'!$B$19+M281*('Service inputs'!$B$20*'Service inputs'!$B$21+'Service inputs'!$B$22)+N281*'Service inputs'!$B$23+F281*(H281*'Service inputs'!$B$28*'Service inputs'!$B$29+I281*'Service inputs'!$B$24*'Service inputs'!$B$25+J281*'Service inputs'!$B$26*'Service inputs'!$B$27+K281*'Service inputs'!$B$30*'Service inputs'!$B$31)</x:f>
        <x:v>845.234372686</x:v>
      </x:c>
      <x:c r="Q281" s="24" t="n">
        <x:f>O281/SUM($O$5:$O$320)*SUMIF(Workload!$A$5:$A$40,"Ecology",Workload!$G$5:$G$40)</x:f>
        <x:v>4.32493958565938</x:v>
      </x:c>
      <x:c r="R281" s="25" t="n">
        <x:f>P281/SUMIF(Workload!$A$5:$A$40,"Grounds",Workload!$G$5:$G$40)*Staffing!$J$5+Q281/SUMIF(Workload!$A$5:$A$40,"Ecology",Workload!$G$5:$G$40)*Staffing!$J$7</x:f>
        <x:v>86404.97202587222</x:v>
      </x:c>
      <x:c r="S281" s="8" t="n">
        <x:v>47</x:v>
      </x:c>
      <x:c r="T281" s="22" t="n">
        <x:v>0.3617021276595745</x:v>
      </x:c>
      <x:c r="U281" s="8" t="n">
        <x:v>13</x:v>
      </x:c>
      <x:c r="V281" s="8" t="n">
        <x:v>0</x:v>
      </x:c>
      <x:c r="W281" s="8" t="str">
        <x:v>https://parks.portlandciviclab.org/parks/sunnyside-school-park-715</x:v>
      </x:c>
    </x:row>
    <x:row r="282" ht="23" customHeight="1">
      <x:c r="A282" s="7" t="str">
        <x:v>1200</x:v>
      </x:c>
      <x:c r="B282" s="7" t="str">
        <x:v>Sylvania Park</x:v>
      </x:c>
      <x:c r="C282" s="7" t="str">
        <x:v>natural-area</x:v>
      </x:c>
      <x:c r="D282" s="7" t="str">
        <x:v>District 4</x:v>
      </x:c>
      <x:c r="E282" s="19" t="n">
        <x:v>3.11831814</x:v>
      </x:c>
      <x:c r="F282" s="7" t="n">
        <x:v>1</x:v>
      </x:c>
      <x:c r="G282" s="7" t="n">
        <x:v>0</x:v>
      </x:c>
      <x:c r="H282" s="7" t="n">
        <x:v>0</x:v>
      </x:c>
      <x:c r="I282" s="7" t="n">
        <x:v>0</x:v>
      </x:c>
      <x:c r="J282" s="7" t="n">
        <x:v>0</x:v>
      </x:c>
      <x:c r="K282" s="7" t="n">
        <x:v>0</x:v>
      </x:c>
      <x:c r="L282" s="26" t="n">
        <x:f>F282*'Service inputs'!B66*'Service inputs'!C66</x:f>
        <x:v>78</x:v>
      </x:c>
      <x:c r="M282" s="26" t="n">
        <x:f>F282*E282*'Service inputs'!D66</x:f>
        <x:v>0.0155915907</x:v>
      </x:c>
      <x:c r="N282" s="26" t="n">
        <x:f>F282*E282*'Service inputs'!E66</x:f>
        <x:v>0</x:v>
      </x:c>
      <x:c r="O282" s="26" t="n">
        <x:f>F282*E282*'Service inputs'!F66</x:f>
        <x:v>3.0871349586</x:v>
      </x:c>
      <x:c r="P282" s="26" t="n">
        <x:f>L282+F282*G282*'Service inputs'!$B$17*'Service inputs'!$B$18*'Service inputs'!$B$19+M282*('Service inputs'!$B$20*'Service inputs'!$B$21+'Service inputs'!$B$22)+N282*'Service inputs'!$B$23+F282*(H282*'Service inputs'!$B$28*'Service inputs'!$B$29+I282*'Service inputs'!$B$24*'Service inputs'!$B$25+J282*'Service inputs'!$B$26*'Service inputs'!$B$27+K282*'Service inputs'!$B$30*'Service inputs'!$B$31)</x:f>
        <x:v>78.3586065861</x:v>
      </x:c>
      <x:c r="Q282" s="26" t="n">
        <x:f>O282/SUM($O$5:$O$320)*SUMIF(Workload!$A$5:$A$40,"Ecology",Workload!$G$5:$G$40)</x:f>
        <x:v>32.40784366919505</x:v>
      </x:c>
      <x:c r="R282" s="27" t="n">
        <x:f>P282/SUMIF(Workload!$A$5:$A$40,"Grounds",Workload!$G$5:$G$40)*Staffing!$J$5+Q282/SUMIF(Workload!$A$5:$A$40,"Ecology",Workload!$G$5:$G$40)*Staffing!$J$7</x:f>
        <x:v>11714.574662396088</x:v>
      </x:c>
      <x:c r="S282" s="7" t="n">
        <x:v>5</x:v>
      </x:c>
      <x:c r="T282" s="23" t="n">
        <x:v>0.4</x:v>
      </x:c>
      <x:c r="U282" s="7" t="n">
        <x:v>0</x:v>
      </x:c>
      <x:c r="V282" s="7" t="n">
        <x:v>0</x:v>
      </x:c>
      <x:c r="W282" s="7" t="str">
        <x:v>https://parks.portlandciviclab.org/parks/sylvania-park-1200</x:v>
      </x:c>
    </x:row>
    <x:row r="283" ht="23" customHeight="1">
      <x:c r="A283" s="8" t="str">
        <x:v>1273</x:v>
      </x:c>
      <x:c r="B283" s="8" t="str">
        <x:v>Tanner Springs Park</x:v>
      </x:c>
      <x:c r="C283" s="8" t="str">
        <x:v>developed-park</x:v>
      </x:c>
      <x:c r="D283" s="8" t="str">
        <x:v>District 4</x:v>
      </x:c>
      <x:c r="E283" s="18" t="n">
        <x:v>0.91827684</x:v>
      </x:c>
      <x:c r="F283" s="8" t="n">
        <x:v>1</x:v>
      </x:c>
      <x:c r="G283" s="8" t="n">
        <x:v>0</x:v>
      </x:c>
      <x:c r="H283" s="8" t="n">
        <x:v>0</x:v>
      </x:c>
      <x:c r="I283" s="8" t="n">
        <x:v>0</x:v>
      </x:c>
      <x:c r="J283" s="8" t="n">
        <x:v>0</x:v>
      </x:c>
      <x:c r="K283" s="8" t="n">
        <x:v>0</x:v>
      </x:c>
      <x:c r="L283" s="24" t="n">
        <x:f>F283*'Service inputs'!B65*'Service inputs'!C65</x:f>
        <x:v>547.5</x:v>
      </x:c>
      <x:c r="M283" s="24" t="n">
        <x:f>F283*E283*'Service inputs'!D65</x:f>
        <x:v>0.5050522620000001</x:v>
      </x:c>
      <x:c r="N283" s="24" t="n">
        <x:f>F283*E283*'Service inputs'!E65</x:f>
        <x:v>0.045913842</x:v>
      </x:c>
      <x:c r="O283" s="24" t="n">
        <x:f>F283*E283*'Service inputs'!F65</x:f>
        <x:v>0.22956921</x:v>
      </x:c>
      <x:c r="P283" s="24" t="n">
        <x:f>L283+F283*G283*'Service inputs'!$B$17*'Service inputs'!$B$18*'Service inputs'!$B$19+M283*('Service inputs'!$B$20*'Service inputs'!$B$21+'Service inputs'!$B$22)+N283*'Service inputs'!$B$23+F283*(H283*'Service inputs'!$B$28*'Service inputs'!$B$29+I283*'Service inputs'!$B$24*'Service inputs'!$B$25+J283*'Service inputs'!$B$26*'Service inputs'!$B$27+K283*'Service inputs'!$B$30*'Service inputs'!$B$31)</x:f>
        <x:v>564.625863066</x:v>
      </x:c>
      <x:c r="Q283" s="24" t="n">
        <x:f>O283/SUM($O$5:$O$320)*SUMIF(Workload!$A$5:$A$40,"Ecology",Workload!$G$5:$G$40)</x:f>
        <x:v>2.4099507046865685</x:v>
      </x:c>
      <x:c r="R283" s="25" t="n">
        <x:f>P283/SUMIF(Workload!$A$5:$A$40,"Grounds",Workload!$G$5:$G$40)*Staffing!$J$5+Q283/SUMIF(Workload!$A$5:$A$40,"Ecology",Workload!$G$5:$G$40)*Staffing!$J$7</x:f>
        <x:v>57664.01756096623</x:v>
      </x:c>
      <x:c r="S283" s="8" t="n">
        <x:v>59</x:v>
      </x:c>
      <x:c r="T283" s="22" t="n">
        <x:v>0.01694915254237288</x:v>
      </x:c>
      <x:c r="U283" s="8" t="n">
        <x:v>0</x:v>
      </x:c>
      <x:c r="V283" s="8" t="n">
        <x:v>0</x:v>
      </x:c>
      <x:c r="W283" s="8" t="str">
        <x:v>https://parks.portlandciviclab.org/parks/tanner-springs-park-1273</x:v>
      </x:c>
    </x:row>
    <x:row r="284" ht="23" customHeight="1">
      <x:c r="A284" s="7" t="str">
        <x:v>1267</x:v>
      </x:c>
      <x:c r="B284" s="7" t="str">
        <x:v>The Fields</x:v>
      </x:c>
      <x:c r="C284" s="7" t="str">
        <x:v>developed-park</x:v>
      </x:c>
      <x:c r="D284" s="7" t="str">
        <x:v>District 4</x:v>
      </x:c>
      <x:c r="E284" s="19" t="n">
        <x:v>3.3507525</x:v>
      </x:c>
      <x:c r="F284" s="7" t="n">
        <x:v>1</x:v>
      </x:c>
      <x:c r="G284" s="7" t="n">
        <x:v>1</x:v>
      </x:c>
      <x:c r="H284" s="7" t="n">
        <x:v>1</x:v>
      </x:c>
      <x:c r="I284" s="7" t="n">
        <x:v>0</x:v>
      </x:c>
      <x:c r="J284" s="7" t="n">
        <x:v>0</x:v>
      </x:c>
      <x:c r="K284" s="7" t="n">
        <x:v>0</x:v>
      </x:c>
      <x:c r="L284" s="26" t="n">
        <x:f>F284*'Service inputs'!B65*'Service inputs'!C65</x:f>
        <x:v>547.5</x:v>
      </x:c>
      <x:c r="M284" s="26" t="n">
        <x:f>F284*E284*'Service inputs'!D65</x:f>
        <x:v>1.8429138750000003</x:v>
      </x:c>
      <x:c r="N284" s="26" t="n">
        <x:f>F284*E284*'Service inputs'!E65</x:f>
        <x:v>0.16753762500000002</x:v>
      </x:c>
      <x:c r="O284" s="26" t="n">
        <x:f>F284*E284*'Service inputs'!F65</x:f>
        <x:v>0.837688125</x:v>
      </x:c>
      <x:c r="P284" s="26" t="n">
        <x:f>L284+F284*G284*'Service inputs'!$B$17*'Service inputs'!$B$18*'Service inputs'!$B$19+M284*('Service inputs'!$B$20*'Service inputs'!$B$21+'Service inputs'!$B$22)+N284*'Service inputs'!$B$23+F284*(H284*'Service inputs'!$B$28*'Service inputs'!$B$29+I284*'Service inputs'!$B$24*'Service inputs'!$B$25+J284*'Service inputs'!$B$26*'Service inputs'!$B$27+K284*'Service inputs'!$B$30*'Service inputs'!$B$31)</x:f>
        <x:v>970.741534125</x:v>
      </x:c>
      <x:c r="Q284" s="26" t="n">
        <x:f>O284/SUM($O$5:$O$320)*SUMIF(Workload!$A$5:$A$40,"Ecology",Workload!$G$5:$G$40)</x:f>
        <x:v>8.79380596009073</x:v>
      </x:c>
      <x:c r="R284" s="27" t="n">
        <x:f>P284/SUMIF(Workload!$A$5:$A$40,"Grounds",Workload!$G$5:$G$40)*Staffing!$J$5+Q284/SUMIF(Workload!$A$5:$A$40,"Ecology",Workload!$G$5:$G$40)*Staffing!$J$7</x:f>
        <x:v>99677.94846409198</x:v>
      </x:c>
      <x:c r="S284" s="7" t="n">
        <x:v>66</x:v>
      </x:c>
      <x:c r="T284" s="23" t="n">
        <x:v>0.030303030303030304</x:v>
      </x:c>
      <x:c r="U284" s="7" t="n">
        <x:v>0</x:v>
      </x:c>
      <x:c r="V284" s="7" t="n">
        <x:v>0</x:v>
      </x:c>
      <x:c r="W284" s="7" t="str">
        <x:v>https://parks.portlandciviclab.org/parks/the-fields-1267</x:v>
      </x:c>
    </x:row>
    <x:row r="285" ht="23" customHeight="1">
      <x:c r="A285" s="8" t="str">
        <x:v>1174</x:v>
      </x:c>
      <x:c r="B285" s="8" t="str">
        <x:v>Thomas Cully Property</x:v>
      </x:c>
      <x:c r="C285" s="8" t="str">
        <x:v>developed-park</x:v>
      </x:c>
      <x:c r="D285" s="8" t="str">
        <x:v>District 2</x:v>
      </x:c>
      <x:c r="E285" s="18" t="n">
        <x:v>24.73067664</x:v>
      </x:c>
      <x:c r="F285" s="8" t="n">
        <x:v>1</x:v>
      </x:c>
      <x:c r="G285" s="8" t="n">
        <x:v>2</x:v>
      </x:c>
      <x:c r="H285" s="8" t="n">
        <x:v>1</x:v>
      </x:c>
      <x:c r="I285" s="8" t="n">
        <x:v>2</x:v>
      </x:c>
      <x:c r="J285" s="8" t="n">
        <x:v>0</x:v>
      </x:c>
      <x:c r="K285" s="8" t="n">
        <x:v>0</x:v>
      </x:c>
      <x:c r="L285" s="24" t="n">
        <x:f>F285*'Service inputs'!B65*'Service inputs'!C65</x:f>
        <x:v>547.5</x:v>
      </x:c>
      <x:c r="M285" s="24" t="n">
        <x:f>F285*E285*'Service inputs'!D65</x:f>
        <x:v>13.601872152</x:v>
      </x:c>
      <x:c r="N285" s="24" t="n">
        <x:f>F285*E285*'Service inputs'!E65</x:f>
        <x:v>1.236533832</x:v>
      </x:c>
      <x:c r="O285" s="24" t="n">
        <x:f>F285*E285*'Service inputs'!F65</x:f>
        <x:v>6.18266916</x:v>
      </x:c>
      <x:c r="P285" s="24" t="n">
        <x:f>L285+F285*G285*'Service inputs'!$B$17*'Service inputs'!$B$18*'Service inputs'!$B$19+M285*('Service inputs'!$B$20*'Service inputs'!$B$21+'Service inputs'!$B$22)+N285*'Service inputs'!$B$23+F285*(H285*'Service inputs'!$B$28*'Service inputs'!$B$29+I285*'Service inputs'!$B$24*'Service inputs'!$B$25+J285*'Service inputs'!$B$26*'Service inputs'!$B$27+K285*'Service inputs'!$B$30*'Service inputs'!$B$31)</x:f>
        <x:v>1901.227119336</x:v>
      </x:c>
      <x:c r="Q285" s="24" t="n">
        <x:f>O285/SUM($O$5:$O$320)*SUMIF(Workload!$A$5:$A$40,"Ecology",Workload!$G$5:$G$40)</x:f>
        <x:v>64.90386014303013</x:v>
      </x:c>
      <x:c r="R285" s="25" t="n">
        <x:f>P285/SUMIF(Workload!$A$5:$A$40,"Grounds",Workload!$G$5:$G$40)*Staffing!$J$5+Q285/SUMIF(Workload!$A$5:$A$40,"Ecology",Workload!$G$5:$G$40)*Staffing!$J$7</x:f>
        <x:v>200740.6250582091</x:v>
      </x:c>
      <x:c r="S285" s="8" t="n">
        <x:v>112</x:v>
      </x:c>
      <x:c r="T285" s="22" t="n">
        <x:v>0.05357142857142857</x:v>
      </x:c>
      <x:c r="U285" s="8" t="n">
        <x:v>1</x:v>
      </x:c>
      <x:c r="V285" s="8" t="n">
        <x:v>1</x:v>
      </x:c>
      <x:c r="W285" s="8" t="str">
        <x:v>https://parks.portlandciviclab.org/parks/thomas-cully-property-1174</x:v>
      </x:c>
    </x:row>
    <x:row r="286" ht="23" customHeight="1">
      <x:c r="A286" s="7" t="str">
        <x:v>814</x:v>
      </x:c>
      <x:c r="B286" s="7" t="str">
        <x:v>Thompson Park</x:v>
      </x:c>
      <x:c r="C286" s="7" t="str">
        <x:v>developed-park</x:v>
      </x:c>
      <x:c r="D286" s="7" t="str">
        <x:v>District 1</x:v>
      </x:c>
      <x:c r="E286" s="19" t="n">
        <x:v>4.41664633</x:v>
      </x:c>
      <x:c r="F286" s="7" t="n">
        <x:v>1</x:v>
      </x:c>
      <x:c r="G286" s="7" t="n">
        <x:v>0</x:v>
      </x:c>
      <x:c r="H286" s="7" t="n">
        <x:v>0</x:v>
      </x:c>
      <x:c r="I286" s="7" t="n">
        <x:v>1</x:v>
      </x:c>
      <x:c r="J286" s="7" t="n">
        <x:v>0</x:v>
      </x:c>
      <x:c r="K286" s="7" t="n">
        <x:v>0</x:v>
      </x:c>
      <x:c r="L286" s="26" t="n">
        <x:f>F286*'Service inputs'!B65*'Service inputs'!C65</x:f>
        <x:v>547.5</x:v>
      </x:c>
      <x:c r="M286" s="26" t="n">
        <x:f>F286*E286*'Service inputs'!D65</x:f>
        <x:v>2.4291554815</x:v>
      </x:c>
      <x:c r="N286" s="26" t="n">
        <x:f>F286*E286*'Service inputs'!E65</x:f>
        <x:v>0.22083231650000001</x:v>
      </x:c>
      <x:c r="O286" s="26" t="n">
        <x:f>F286*E286*'Service inputs'!F65</x:f>
        <x:v>1.1041615825</x:v>
      </x:c>
      <x:c r="P286" s="26" t="n">
        <x:f>L286+F286*G286*'Service inputs'!$B$17*'Service inputs'!$B$18*'Service inputs'!$B$19+M286*('Service inputs'!$B$20*'Service inputs'!$B$21+'Service inputs'!$B$22)+N286*'Service inputs'!$B$23+F286*(H286*'Service inputs'!$B$28*'Service inputs'!$B$29+I286*'Service inputs'!$B$24*'Service inputs'!$B$25+J286*'Service inputs'!$B$26*'Service inputs'!$B$27+K286*'Service inputs'!$B$30*'Service inputs'!$B$31)</x:f>
        <x:v>734.8704540545</x:v>
      </x:c>
      <x:c r="Q286" s="26" t="n">
        <x:f>O286/SUM($O$5:$O$320)*SUMIF(Workload!$A$5:$A$40,"Ecology",Workload!$G$5:$G$40)</x:f>
        <x:v>11.591166706692555</x:v>
      </x:c>
      <x:c r="R286" s="27" t="n">
        <x:f>P286/SUMIF(Workload!$A$5:$A$40,"Grounds",Workload!$G$5:$G$40)*Staffing!$J$5+Q286/SUMIF(Workload!$A$5:$A$40,"Ecology",Workload!$G$5:$G$40)*Staffing!$J$7</x:f>
        <x:v>76029.21029364443</x:v>
      </x:c>
      <x:c r="S286" s="7" t="n">
        <x:v>2</x:v>
      </x:c>
      <x:c r="T286" s="23" t="n">
        <x:v>0</x:v>
      </x:c>
      <x:c r="U286" s="7" t="n">
        <x:v>0</x:v>
      </x:c>
      <x:c r="V286" s="7" t="n">
        <x:v>0</x:v>
      </x:c>
      <x:c r="W286" s="7" t="str">
        <x:v>https://parks.portlandciviclab.org/parks/thompson-park-814</x:v>
      </x:c>
    </x:row>
    <x:row r="287" ht="23" customHeight="1">
      <x:c r="A287" s="8" t="str">
        <x:v>815</x:v>
      </x:c>
      <x:c r="B287" s="8" t="str">
        <x:v>Tideman Johnson Natural Area</x:v>
      </x:c>
      <x:c r="C287" s="8" t="str">
        <x:v>natural-area</x:v>
      </x:c>
      <x:c r="D287" s="8" t="str">
        <x:v>District 4</x:v>
      </x:c>
      <x:c r="E287" s="18" t="n">
        <x:v>7.58787263</x:v>
      </x:c>
      <x:c r="F287" s="8" t="n">
        <x:v>1</x:v>
      </x:c>
      <x:c r="G287" s="8" t="n">
        <x:v>0</x:v>
      </x:c>
      <x:c r="H287" s="8" t="n">
        <x:v>0</x:v>
      </x:c>
      <x:c r="I287" s="8" t="n">
        <x:v>0</x:v>
      </x:c>
      <x:c r="J287" s="8" t="n">
        <x:v>0</x:v>
      </x:c>
      <x:c r="K287" s="8" t="n">
        <x:v>0</x:v>
      </x:c>
      <x:c r="L287" s="24" t="n">
        <x:f>F287*'Service inputs'!B66*'Service inputs'!C66</x:f>
        <x:v>78</x:v>
      </x:c>
      <x:c r="M287" s="24" t="n">
        <x:f>F287*E287*'Service inputs'!D66</x:f>
        <x:v>0.03793936315</x:v>
      </x:c>
      <x:c r="N287" s="24" t="n">
        <x:f>F287*E287*'Service inputs'!E66</x:f>
        <x:v>0</x:v>
      </x:c>
      <x:c r="O287" s="24" t="n">
        <x:f>F287*E287*'Service inputs'!F66</x:f>
        <x:v>7.5119939037</x:v>
      </x:c>
      <x:c r="P287" s="24" t="n">
        <x:f>L287+F287*G287*'Service inputs'!$B$17*'Service inputs'!$B$18*'Service inputs'!$B$19+M287*('Service inputs'!$B$20*'Service inputs'!$B$21+'Service inputs'!$B$22)+N287*'Service inputs'!$B$23+F287*(H287*'Service inputs'!$B$28*'Service inputs'!$B$29+I287*'Service inputs'!$B$24*'Service inputs'!$B$25+J287*'Service inputs'!$B$26*'Service inputs'!$B$27+K287*'Service inputs'!$B$30*'Service inputs'!$B$31)</x:f>
        <x:v>78.87260535245</x:v>
      </x:c>
      <x:c r="Q287" s="24" t="n">
        <x:f>O287/SUM($O$5:$O$320)*SUMIF(Workload!$A$5:$A$40,"Ecology",Workload!$G$5:$G$40)</x:f>
        <x:v>78.8587241373659</x:v>
      </x:c>
      <x:c r="R287" s="25" t="n">
        <x:f>P287/SUMIF(Workload!$A$5:$A$40,"Grounds",Workload!$G$5:$G$40)*Staffing!$J$5+Q287/SUMIF(Workload!$A$5:$A$40,"Ecology",Workload!$G$5:$G$40)*Staffing!$J$7</x:f>
        <x:v>17142.75743000488</x:v>
      </x:c>
      <x:c r="S287" s="8" t="n">
        <x:v>0</x:v>
      </x:c>
      <x:c r="T287" s="22" t="n">
        <x:v>0</x:v>
      </x:c>
      <x:c r="U287" s="8" t="n">
        <x:v>0</x:v>
      </x:c>
      <x:c r="V287" s="8" t="n">
        <x:v>1</x:v>
      </x:c>
      <x:c r="W287" s="8" t="str">
        <x:v>https://parks.portlandciviclab.org/parks/tideman-johnson-natural-area-815</x:v>
      </x:c>
    </x:row>
    <x:row r="288" ht="23" customHeight="1">
      <x:c r="A288" s="7" t="str">
        <x:v>920</x:v>
      </x:c>
      <x:c r="B288" s="7" t="str">
        <x:v>Toe Island</x:v>
      </x:c>
      <x:c r="C288" s="7" t="str">
        <x:v>natural-area</x:v>
      </x:c>
      <x:c r="D288" s="7" t="str">
        <x:v>District 4</x:v>
      </x:c>
      <x:c r="E288" s="19" t="n">
        <x:v>0.46597091</x:v>
      </x:c>
      <x:c r="F288" s="7" t="n">
        <x:v>1</x:v>
      </x:c>
      <x:c r="G288" s="7" t="n">
        <x:v>0</x:v>
      </x:c>
      <x:c r="H288" s="7" t="n">
        <x:v>0</x:v>
      </x:c>
      <x:c r="I288" s="7" t="n">
        <x:v>0</x:v>
      </x:c>
      <x:c r="J288" s="7" t="n">
        <x:v>0</x:v>
      </x:c>
      <x:c r="K288" s="7" t="n">
        <x:v>0</x:v>
      </x:c>
      <x:c r="L288" s="26" t="n">
        <x:f>F288*'Service inputs'!B66*'Service inputs'!C66</x:f>
        <x:v>78</x:v>
      </x:c>
      <x:c r="M288" s="26" t="n">
        <x:f>F288*E288*'Service inputs'!D66</x:f>
        <x:v>0.00232985455</x:v>
      </x:c>
      <x:c r="N288" s="26" t="n">
        <x:f>F288*E288*'Service inputs'!E66</x:f>
        <x:v>0</x:v>
      </x:c>
      <x:c r="O288" s="26" t="n">
        <x:f>F288*E288*'Service inputs'!F66</x:f>
        <x:v>0.4613112009</x:v>
      </x:c>
      <x:c r="P288" s="26" t="n">
        <x:f>L288+F288*G288*'Service inputs'!$B$17*'Service inputs'!$B$18*'Service inputs'!$B$19+M288*('Service inputs'!$B$20*'Service inputs'!$B$21+'Service inputs'!$B$22)+N288*'Service inputs'!$B$23+F288*(H288*'Service inputs'!$B$28*'Service inputs'!$B$29+I288*'Service inputs'!$B$24*'Service inputs'!$B$25+J288*'Service inputs'!$B$26*'Service inputs'!$B$27+K288*'Service inputs'!$B$30*'Service inputs'!$B$31)</x:f>
        <x:v>78.05358665465</x:v>
      </x:c>
      <x:c r="Q288" s="26" t="n">
        <x:f>O288/SUM($O$5:$O$320)*SUMIF(Workload!$A$5:$A$40,"Ecology",Workload!$G$5:$G$40)</x:f>
        <x:v>4.842710630440215</x:v>
      </x:c>
      <x:c r="R288" s="27" t="n">
        <x:f>P288/SUMIF(Workload!$A$5:$A$40,"Grounds",Workload!$G$5:$G$40)*Staffing!$J$5+Q288/SUMIF(Workload!$A$5:$A$40,"Ecology",Workload!$G$5:$G$40)*Staffing!$J$7</x:f>
        <x:v>8493.353048516423</x:v>
      </x:c>
      <x:c r="S288" s="7" t="n">
        <x:v>0</x:v>
      </x:c>
      <x:c r="T288" s="23" t="n">
        <x:v>0</x:v>
      </x:c>
      <x:c r="U288" s="7" t="n">
        <x:v>0</x:v>
      </x:c>
      <x:c r="V288" s="7" t="n">
        <x:v>0</x:v>
      </x:c>
      <x:c r="W288" s="7" t="str">
        <x:v>https://parks.portlandciviclab.org/parks/toe-island-920</x:v>
      </x:c>
    </x:row>
    <x:row r="289" ht="23" customHeight="1">
      <x:c r="A289" s="8" t="str">
        <x:v>820</x:v>
      </x:c>
      <x:c r="B289" s="8" t="str">
        <x:v>Trenton Park</x:v>
      </x:c>
      <x:c r="C289" s="8" t="str">
        <x:v>developed-park</x:v>
      </x:c>
      <x:c r="D289" s="8" t="str">
        <x:v>District 2</x:v>
      </x:c>
      <x:c r="E289" s="18" t="n">
        <x:v>2.29568063</x:v>
      </x:c>
      <x:c r="F289" s="8" t="n">
        <x:v>1</x:v>
      </x:c>
      <x:c r="G289" s="8" t="n">
        <x:v>0</x:v>
      </x:c>
      <x:c r="H289" s="8" t="n">
        <x:v>1</x:v>
      </x:c>
      <x:c r="I289" s="8" t="n">
        <x:v>0</x:v>
      </x:c>
      <x:c r="J289" s="8" t="n">
        <x:v>1</x:v>
      </x:c>
      <x:c r="K289" s="8" t="n">
        <x:v>0</x:v>
      </x:c>
      <x:c r="L289" s="24" t="n">
        <x:f>F289*'Service inputs'!B65*'Service inputs'!C65</x:f>
        <x:v>547.5</x:v>
      </x:c>
      <x:c r="M289" s="24" t="n">
        <x:f>F289*E289*'Service inputs'!D65</x:f>
        <x:v>1.2626243465000002</x:v>
      </x:c>
      <x:c r="N289" s="24" t="n">
        <x:f>F289*E289*'Service inputs'!E65</x:f>
        <x:v>0.11478403150000001</x:v>
      </x:c>
      <x:c r="O289" s="24" t="n">
        <x:f>F289*E289*'Service inputs'!F65</x:f>
        <x:v>0.5739201575</x:v>
      </x:c>
      <x:c r="P289" s="24" t="n">
        <x:f>L289+F289*G289*'Service inputs'!$B$17*'Service inputs'!$B$18*'Service inputs'!$B$19+M289*('Service inputs'!$B$20*'Service inputs'!$B$21+'Service inputs'!$B$22)+N289*'Service inputs'!$B$23+F289*(H289*'Service inputs'!$B$28*'Service inputs'!$B$29+I289*'Service inputs'!$B$24*'Service inputs'!$B$25+J289*'Service inputs'!$B$26*'Service inputs'!$B$27+K289*'Service inputs'!$B$30*'Service inputs'!$B$31)</x:f>
        <x:v>647.3144437495</x:v>
      </x:c>
      <x:c r="Q289" s="24" t="n">
        <x:f>O289/SUM($O$5:$O$320)*SUMIF(Workload!$A$5:$A$40,"Ecology",Workload!$G$5:$G$40)</x:f>
        <x:v>6.024846659536579</x:v>
      </x:c>
      <x:c r="R289" s="25" t="n">
        <x:f>P289/SUMIF(Workload!$A$5:$A$40,"Grounds",Workload!$G$5:$G$40)*Staffing!$J$5+Q289/SUMIF(Workload!$A$5:$A$40,"Ecology",Workload!$G$5:$G$40)*Staffing!$J$7</x:f>
        <x:v>66486.34311049475</x:v>
      </x:c>
      <x:c r="S289" s="8" t="n">
        <x:v>14</x:v>
      </x:c>
      <x:c r="T289" s="22" t="n">
        <x:v>0.07142857142857142</x:v>
      </x:c>
      <x:c r="U289" s="8" t="n">
        <x:v>0</x:v>
      </x:c>
      <x:c r="V289" s="8" t="n">
        <x:v>0</x:v>
      </x:c>
      <x:c r="W289" s="8" t="str">
        <x:v>https://parks.portlandciviclab.org/parks/trenton-park-820</x:v>
      </x:c>
    </x:row>
    <x:row r="290" ht="23" customHeight="1">
      <x:c r="A290" s="7" t="str">
        <x:v>821</x:v>
      </x:c>
      <x:c r="B290" s="7" t="str">
        <x:v>Tryon Creek Headwaters</x:v>
      </x:c>
      <x:c r="C290" s="7" t="str">
        <x:v>natural-area</x:v>
      </x:c>
      <x:c r="D290" s="7" t="str">
        <x:v>District 4</x:v>
      </x:c>
      <x:c r="E290" s="19" t="n">
        <x:v>2.53612231</x:v>
      </x:c>
      <x:c r="F290" s="7" t="n">
        <x:v>1</x:v>
      </x:c>
      <x:c r="G290" s="7" t="n">
        <x:v>0</x:v>
      </x:c>
      <x:c r="H290" s="7" t="n">
        <x:v>0</x:v>
      </x:c>
      <x:c r="I290" s="7" t="n">
        <x:v>0</x:v>
      </x:c>
      <x:c r="J290" s="7" t="n">
        <x:v>0</x:v>
      </x:c>
      <x:c r="K290" s="7" t="n">
        <x:v>0</x:v>
      </x:c>
      <x:c r="L290" s="26" t="n">
        <x:f>F290*'Service inputs'!B66*'Service inputs'!C66</x:f>
        <x:v>78</x:v>
      </x:c>
      <x:c r="M290" s="26" t="n">
        <x:f>F290*E290*'Service inputs'!D66</x:f>
        <x:v>0.01268061155</x:v>
      </x:c>
      <x:c r="N290" s="26" t="n">
        <x:f>F290*E290*'Service inputs'!E66</x:f>
        <x:v>0</x:v>
      </x:c>
      <x:c r="O290" s="26" t="n">
        <x:f>F290*E290*'Service inputs'!F66</x:f>
        <x:v>2.5107610869</x:v>
      </x:c>
      <x:c r="P290" s="26" t="n">
        <x:f>L290+F290*G290*'Service inputs'!$B$17*'Service inputs'!$B$18*'Service inputs'!$B$19+M290*('Service inputs'!$B$20*'Service inputs'!$B$21+'Service inputs'!$B$22)+N290*'Service inputs'!$B$23+F290*(H290*'Service inputs'!$B$28*'Service inputs'!$B$29+I290*'Service inputs'!$B$24*'Service inputs'!$B$25+J290*'Service inputs'!$B$26*'Service inputs'!$B$27+K290*'Service inputs'!$B$30*'Service inputs'!$B$31)</x:f>
        <x:v>78.29165406565</x:v>
      </x:c>
      <x:c r="Q290" s="26" t="n">
        <x:f>O290/SUM($O$5:$O$320)*SUMIF(Workload!$A$5:$A$40,"Ecology",Workload!$G$5:$G$40)</x:f>
        <x:v>26.357238632629652</x:v>
      </x:c>
      <x:c r="R290" s="27" t="n">
        <x:f>P290/SUMIF(Workload!$A$5:$A$40,"Grounds",Workload!$G$5:$G$40)*Staffing!$J$5+Q290/SUMIF(Workload!$A$5:$A$40,"Ecology",Workload!$G$5:$G$40)*Staffing!$J$7</x:f>
        <x:v>11007.509701257268</x:v>
      </x:c>
      <x:c r="S290" s="7" t="n">
        <x:v>0</x:v>
      </x:c>
      <x:c r="T290" s="23" t="n">
        <x:v>0</x:v>
      </x:c>
      <x:c r="U290" s="7" t="n">
        <x:v>0</x:v>
      </x:c>
      <x:c r="V290" s="7" t="n">
        <x:v>0</x:v>
      </x:c>
      <x:c r="W290" s="7" t="str">
        <x:v>https://parks.portlandciviclab.org/parks/tryon-creek-headwaters-821</x:v>
      </x:c>
    </x:row>
    <x:row r="291" ht="23" customHeight="1">
      <x:c r="A291" s="8" t="str">
        <x:v>1010</x:v>
      </x:c>
      <x:c r="B291" s="8" t="str">
        <x:v>Two Plum Park</x:v>
      </x:c>
      <x:c r="C291" s="8" t="str">
        <x:v>developed-park</x:v>
      </x:c>
      <x:c r="D291" s="8" t="str">
        <x:v>District 2</x:v>
      </x:c>
      <x:c r="E291" s="18" t="n">
        <x:v>0.34438862</x:v>
      </x:c>
      <x:c r="F291" s="8" t="n">
        <x:v>1</x:v>
      </x:c>
      <x:c r="G291" s="8" t="n">
        <x:v>0</x:v>
      </x:c>
      <x:c r="H291" s="8" t="n">
        <x:v>1</x:v>
      </x:c>
      <x:c r="I291" s="8" t="n">
        <x:v>0</x:v>
      </x:c>
      <x:c r="J291" s="8" t="n">
        <x:v>0</x:v>
      </x:c>
      <x:c r="K291" s="8" t="n">
        <x:v>0</x:v>
      </x:c>
      <x:c r="L291" s="24" t="n">
        <x:f>F291*'Service inputs'!B65*'Service inputs'!C65</x:f>
        <x:v>547.5</x:v>
      </x:c>
      <x:c r="M291" s="24" t="n">
        <x:f>F291*E291*'Service inputs'!D65</x:f>
        <x:v>0.189413741</x:v>
      </x:c>
      <x:c r="N291" s="24" t="n">
        <x:f>F291*E291*'Service inputs'!E65</x:f>
        <x:v>0.017219431</x:v>
      </x:c>
      <x:c r="O291" s="24" t="n">
        <x:f>F291*E291*'Service inputs'!F65</x:f>
        <x:v>0.086097155</x:v>
      </x:c>
      <x:c r="P291" s="24" t="n">
        <x:f>L291+F291*G291*'Service inputs'!$B$17*'Service inputs'!$B$18*'Service inputs'!$B$19+M291*('Service inputs'!$B$20*'Service inputs'!$B$21+'Service inputs'!$B$22)+N291*'Service inputs'!$B$23+F291*(H291*'Service inputs'!$B$28*'Service inputs'!$B$29+I291*'Service inputs'!$B$24*'Service inputs'!$B$25+J291*'Service inputs'!$B$26*'Service inputs'!$B$27+K291*'Service inputs'!$B$30*'Service inputs'!$B$31)</x:f>
        <x:v>592.922847763</x:v>
      </x:c>
      <x:c r="Q291" s="24" t="n">
        <x:f>O291/SUM($O$5:$O$320)*SUMIF(Workload!$A$5:$A$40,"Ecology",Workload!$G$5:$G$40)</x:f>
        <x:v>0.9038228574457293</x:v>
      </x:c>
      <x:c r="R291" s="25" t="n">
        <x:f>P291/SUMIF(Workload!$A$5:$A$40,"Grounds",Workload!$G$5:$G$40)*Staffing!$J$5+Q291/SUMIF(Workload!$A$5:$A$40,"Ecology",Workload!$G$5:$G$40)*Staffing!$J$7</x:f>
        <x:v>60365.6391708895</x:v>
      </x:c>
      <x:c r="S291" s="8" t="n">
        <x:v>11</x:v>
      </x:c>
      <x:c r="T291" s="22" t="n">
        <x:v>0.09090909090909091</x:v>
      </x:c>
      <x:c r="U291" s="8" t="n">
        <x:v>0</x:v>
      </x:c>
      <x:c r="V291" s="8" t="n">
        <x:v>0</x:v>
      </x:c>
      <x:c r="W291" s="8" t="str">
        <x:v>https://parks.portlandciviclab.org/parks/two-plum-park-1010</x:v>
      </x:c>
    </x:row>
    <x:row r="292" ht="23" customHeight="1">
      <x:c r="A292" s="7" t="str">
        <x:v>824</x:v>
      </x:c>
      <x:c r="B292" s="7" t="str">
        <x:v>University Park</x:v>
      </x:c>
      <x:c r="C292" s="7" t="str">
        <x:v>developed-park</x:v>
      </x:c>
      <x:c r="D292" s="7" t="str">
        <x:v>District 2</x:v>
      </x:c>
      <x:c r="E292" s="19" t="n">
        <x:v>11.4904347</x:v>
      </x:c>
      <x:c r="F292" s="7" t="n">
        <x:v>1</x:v>
      </x:c>
      <x:c r="G292" s="7" t="n">
        <x:v>1</x:v>
      </x:c>
      <x:c r="H292" s="7" t="n">
        <x:v>1</x:v>
      </x:c>
      <x:c r="I292" s="7" t="n">
        <x:v>3</x:v>
      </x:c>
      <x:c r="J292" s="7" t="n">
        <x:v>2</x:v>
      </x:c>
      <x:c r="K292" s="7" t="n">
        <x:v>0</x:v>
      </x:c>
      <x:c r="L292" s="26" t="n">
        <x:f>F292*'Service inputs'!B65*'Service inputs'!C65</x:f>
        <x:v>547.5</x:v>
      </x:c>
      <x:c r="M292" s="26" t="n">
        <x:f>F292*E292*'Service inputs'!D65</x:f>
        <x:v>6.319739085</x:v>
      </x:c>
      <x:c r="N292" s="26" t="n">
        <x:f>F292*E292*'Service inputs'!E65</x:f>
        <x:v>0.574521735</x:v>
      </x:c>
      <x:c r="O292" s="26" t="n">
        <x:f>F292*E292*'Service inputs'!F65</x:f>
        <x:v>2.872608675</x:v>
      </x:c>
      <x:c r="P292" s="26" t="n">
        <x:f>L292+F292*G292*'Service inputs'!$B$17*'Service inputs'!$B$18*'Service inputs'!$B$19+M292*('Service inputs'!$B$20*'Service inputs'!$B$21+'Service inputs'!$B$22)+N292*'Service inputs'!$B$23+F292*(H292*'Service inputs'!$B$28*'Service inputs'!$B$29+I292*'Service inputs'!$B$24*'Service inputs'!$B$25+J292*'Service inputs'!$B$26*'Service inputs'!$B$27+K292*'Service inputs'!$B$30*'Service inputs'!$B$31)</x:f>
        <x:v>1473.546607155</x:v>
      </x:c>
      <x:c r="Q292" s="26" t="n">
        <x:f>O292/SUM($O$5:$O$320)*SUMIF(Workload!$A$5:$A$40,"Ecology",Workload!$G$5:$G$40)</x:f>
        <x:v>30.15580922461248</x:v>
      </x:c>
      <x:c r="R292" s="27" t="n">
        <x:f>P292/SUMIF(Workload!$A$5:$A$40,"Grounds",Workload!$G$5:$G$40)*Staffing!$J$5+Q292/SUMIF(Workload!$A$5:$A$40,"Ecology",Workload!$G$5:$G$40)*Staffing!$J$7</x:f>
        <x:v>153252.27624434946</x:v>
      </x:c>
      <x:c r="S292" s="7" t="n">
        <x:v>80</x:v>
      </x:c>
      <x:c r="T292" s="23" t="n">
        <x:v>0.175</x:v>
      </x:c>
      <x:c r="U292" s="7" t="n">
        <x:v>3</x:v>
      </x:c>
      <x:c r="V292" s="7" t="n">
        <x:v>0</x:v>
      </x:c>
      <x:c r="W292" s="7" t="str">
        <x:v>https://parks.portlandciviclab.org/parks/university-park-824</x:v>
      </x:c>
    </x:row>
    <x:row r="293" ht="23" customHeight="1">
      <x:c r="A293" s="8" t="str">
        <x:v>832</x:v>
      </x:c>
      <x:c r="B293" s="8" t="str">
        <x:v>Ventura Park</x:v>
      </x:c>
      <x:c r="C293" s="8" t="str">
        <x:v>developed-park</x:v>
      </x:c>
      <x:c r="D293" s="8" t="str">
        <x:v>District 1</x:v>
      </x:c>
      <x:c r="E293" s="18" t="n">
        <x:v>7.17678327</x:v>
      </x:c>
      <x:c r="F293" s="8" t="n">
        <x:v>1</x:v>
      </x:c>
      <x:c r="G293" s="8" t="n">
        <x:v>1</x:v>
      </x:c>
      <x:c r="H293" s="8" t="n">
        <x:v>1</x:v>
      </x:c>
      <x:c r="I293" s="8" t="n">
        <x:v>2</x:v>
      </x:c>
      <x:c r="J293" s="8" t="n">
        <x:v>0</x:v>
      </x:c>
      <x:c r="K293" s="8" t="n">
        <x:v>0</x:v>
      </x:c>
      <x:c r="L293" s="24" t="n">
        <x:f>F293*'Service inputs'!B65*'Service inputs'!C65</x:f>
        <x:v>547.5</x:v>
      </x:c>
      <x:c r="M293" s="24" t="n">
        <x:f>F293*E293*'Service inputs'!D65</x:f>
        <x:v>3.9472307985</x:v>
      </x:c>
      <x:c r="N293" s="24" t="n">
        <x:f>F293*E293*'Service inputs'!E65</x:f>
        <x:v>0.3588391635</x:v>
      </x:c>
      <x:c r="O293" s="24" t="n">
        <x:f>F293*E293*'Service inputs'!F65</x:f>
        <x:v>1.7941958175</x:v>
      </x:c>
      <x:c r="P293" s="24" t="n">
        <x:f>L293+F293*G293*'Service inputs'!$B$17*'Service inputs'!$B$18*'Service inputs'!$B$19+M293*('Service inputs'!$B$20*'Service inputs'!$B$21+'Service inputs'!$B$22)+N293*'Service inputs'!$B$23+F293*(H293*'Service inputs'!$B$28*'Service inputs'!$B$29+I293*'Service inputs'!$B$24*'Service inputs'!$B$25+J293*'Service inputs'!$B$26*'Service inputs'!$B$27+K293*'Service inputs'!$B$30*'Service inputs'!$B$31)</x:f>
        <x:v>1252.0970079855</x:v>
      </x:c>
      <x:c r="Q293" s="24" t="n">
        <x:f>O293/SUM($O$5:$O$320)*SUMIF(Workload!$A$5:$A$40,"Ecology",Workload!$G$5:$G$40)</x:f>
        <x:v>18.834945133669358</x:v>
      </x:c>
      <x:c r="R293" s="25" t="n">
        <x:f>P293/SUMIF(Workload!$A$5:$A$40,"Grounds",Workload!$G$5:$G$40)*Staffing!$J$5+Q293/SUMIF(Workload!$A$5:$A$40,"Ecology",Workload!$G$5:$G$40)*Staffing!$J$7</x:f>
        <x:v>129435.29112007275</x:v>
      </x:c>
      <x:c r="S293" s="8" t="n">
        <x:v>77</x:v>
      </x:c>
      <x:c r="T293" s="22" t="n">
        <x:v>0.2597402597402597</x:v>
      </x:c>
      <x:c r="U293" s="8" t="n">
        <x:v>6</x:v>
      </x:c>
      <x:c r="V293" s="8" t="n">
        <x:v>1</x:v>
      </x:c>
      <x:c r="W293" s="8" t="str">
        <x:v>https://parks.portlandciviclab.org/parks/ventura-park-832</x:v>
      </x:c>
    </x:row>
    <x:row r="294" ht="23" customHeight="1">
      <x:c r="A294" s="7" t="str">
        <x:v>105</x:v>
      </x:c>
      <x:c r="B294" s="7" t="str">
        <x:v>Vera Katz Eastbank Esplanade</x:v>
      </x:c>
      <x:c r="C294" s="7" t="str">
        <x:v>corridor</x:v>
      </x:c>
      <x:c r="D294" s="7" t="str">
        <x:v>District 3</x:v>
      </x:c>
      <x:c r="E294" s="19" t="n">
        <x:v>10.69104671</x:v>
      </x:c>
      <x:c r="F294" s="7" t="n">
        <x:v>1</x:v>
      </x:c>
      <x:c r="G294" s="7" t="n">
        <x:v>0</x:v>
      </x:c>
      <x:c r="H294" s="7" t="n">
        <x:v>0</x:v>
      </x:c>
      <x:c r="I294" s="7" t="n">
        <x:v>0</x:v>
      </x:c>
      <x:c r="J294" s="7" t="n">
        <x:v>0</x:v>
      </x:c>
      <x:c r="K294" s="7" t="n">
        <x:v>0</x:v>
      </x:c>
      <x:c r="L294" s="26" t="n">
        <x:f>F294*'Service inputs'!B70*'Service inputs'!C70</x:f>
        <x:v>104</x:v>
      </x:c>
      <x:c r="M294" s="26" t="n">
        <x:f>F294*E294*'Service inputs'!D70</x:f>
        <x:v>0.3207314013</x:v>
      </x:c>
      <x:c r="N294" s="26" t="n">
        <x:f>F294*E294*'Service inputs'!E70</x:f>
        <x:v>0.1069104671</x:v>
      </x:c>
      <x:c r="O294" s="26" t="n">
        <x:f>F294*E294*'Service inputs'!F70</x:f>
        <x:v>9.0873897035</x:v>
      </x:c>
      <x:c r="P294" s="26" t="n">
        <x:f>L294+F294*G294*'Service inputs'!$B$17*'Service inputs'!$B$18*'Service inputs'!$B$19+M294*('Service inputs'!$B$20*'Service inputs'!$B$21+'Service inputs'!$B$22)+N294*'Service inputs'!$B$23+F294*(H294*'Service inputs'!$B$28*'Service inputs'!$B$29+I294*'Service inputs'!$B$24*'Service inputs'!$B$25+J294*'Service inputs'!$B$26*'Service inputs'!$B$27+K294*'Service inputs'!$B$30*'Service inputs'!$B$31)</x:f>
        <x:v>124.2060782819</x:v>
      </x:c>
      <x:c r="Q294" s="26" t="n">
        <x:f>O294/SUM($O$5:$O$320)*SUMIF(Workload!$A$5:$A$40,"Ecology",Workload!$G$5:$G$40)</x:f>
        <x:v>95.39677041059335</x:v>
      </x:c>
      <x:c r="R294" s="27" t="n">
        <x:f>P294/SUMIF(Workload!$A$5:$A$40,"Grounds",Workload!$G$5:$G$40)*Staffing!$J$5+Q294/SUMIF(Workload!$A$5:$A$40,"Ecology",Workload!$G$5:$G$40)*Staffing!$J$7</x:f>
        <x:v>23664.186296250373</x:v>
      </x:c>
      <x:c r="S294" s="7" t="n">
        <x:v>15</x:v>
      </x:c>
      <x:c r="T294" s="23" t="n">
        <x:v>0</x:v>
      </x:c>
      <x:c r="U294" s="7" t="n">
        <x:v>0</x:v>
      </x:c>
      <x:c r="V294" s="7" t="n">
        <x:v>0</x:v>
      </x:c>
      <x:c r="W294" s="7" t="str">
        <x:v>https://parks.portlandciviclab.org/parks/vera-katz-eastbank-esplanade-105</x:v>
      </x:c>
    </x:row>
    <x:row r="295" ht="23" customHeight="1">
      <x:c r="A295" s="8" t="str">
        <x:v>244</x:v>
      </x:c>
      <x:c r="B295" s="8" t="str">
        <x:v>Verdell Burdine Rutherford Park</x:v>
      </x:c>
      <x:c r="C295" s="8" t="str">
        <x:v>developed-park</x:v>
      </x:c>
      <x:c r="D295" s="8" t="str">
        <x:v>District 1</x:v>
      </x:c>
      <x:c r="E295" s="18" t="n">
        <x:v>7.70275046</x:v>
      </x:c>
      <x:c r="F295" s="8" t="n">
        <x:v>1</x:v>
      </x:c>
      <x:c r="G295" s="8" t="n">
        <x:v>1</x:v>
      </x:c>
      <x:c r="H295" s="8" t="n">
        <x:v>1</x:v>
      </x:c>
      <x:c r="I295" s="8" t="n">
        <x:v>1</x:v>
      </x:c>
      <x:c r="J295" s="8" t="n">
        <x:v>0</x:v>
      </x:c>
      <x:c r="K295" s="8" t="n">
        <x:v>0</x:v>
      </x:c>
      <x:c r="L295" s="24" t="n">
        <x:f>F295*'Service inputs'!B65*'Service inputs'!C65</x:f>
        <x:v>547.5</x:v>
      </x:c>
      <x:c r="M295" s="24" t="n">
        <x:f>F295*E295*'Service inputs'!D65</x:f>
        <x:v>4.236512753</x:v>
      </x:c>
      <x:c r="N295" s="24" t="n">
        <x:f>F295*E295*'Service inputs'!E65</x:f>
        <x:v>0.38513752300000004</x:v>
      </x:c>
      <x:c r="O295" s="24" t="n">
        <x:f>F295*E295*'Service inputs'!F65</x:f>
        <x:v>1.925687615</x:v>
      </x:c>
      <x:c r="P295" s="24" t="n">
        <x:f>L295+F295*G295*'Service inputs'!$B$17*'Service inputs'!$B$18*'Service inputs'!$B$19+M295*('Service inputs'!$B$20*'Service inputs'!$B$21+'Service inputs'!$B$22)+N295*'Service inputs'!$B$23+F295*(H295*'Service inputs'!$B$28*'Service inputs'!$B$29+I295*'Service inputs'!$B$24*'Service inputs'!$B$25+J295*'Service inputs'!$B$26*'Service inputs'!$B$27+K295*'Service inputs'!$B$30*'Service inputs'!$B$31)</x:f>
        <x:v>1156.9062960790002</x:v>
      </x:c>
      <x:c r="Q295" s="24" t="n">
        <x:f>O295/SUM($O$5:$O$320)*SUMIF(Workload!$A$5:$A$40,"Ecology",Workload!$G$5:$G$40)</x:f>
        <x:v>20.21530772691794</x:v>
      </x:c>
      <x:c r="R295" s="25" t="n">
        <x:f>P295/SUMIF(Workload!$A$5:$A$40,"Grounds",Workload!$G$5:$G$40)*Staffing!$J$5+Q295/SUMIF(Workload!$A$5:$A$40,"Ecology",Workload!$G$5:$G$40)*Staffing!$J$7</x:f>
        <x:v>119920.44666620402</x:v>
      </x:c>
      <x:c r="S295" s="8" t="n">
        <x:v>76</x:v>
      </x:c>
      <x:c r="T295" s="22" t="n">
        <x:v>0.013157894736842105</x:v>
      </x:c>
      <x:c r="U295" s="8" t="n">
        <x:v>1</x:v>
      </x:c>
      <x:c r="V295" s="8" t="n">
        <x:v>0</x:v>
      </x:c>
      <x:c r="W295" s="8" t="str">
        <x:v>https://parks.portlandciviclab.org/parks/verdell-burdine-rutherford-park-244</x:v>
      </x:c>
    </x:row>
    <x:row r="296" ht="23" customHeight="1">
      <x:c r="A296" s="7" t="str">
        <x:v>833</x:v>
      </x:c>
      <x:c r="B296" s="7" t="str">
        <x:v>Vermont Hills Community Garden</x:v>
      </x:c>
      <x:c r="C296" s="7" t="str">
        <x:v>community-garden</x:v>
      </x:c>
      <x:c r="D296" s="7" t="str">
        <x:v>District 4</x:v>
      </x:c>
      <x:c r="E296" s="19" t="n">
        <x:v>0.42715258</x:v>
      </x:c>
      <x:c r="F296" s="7" t="n">
        <x:v>1</x:v>
      </x:c>
      <x:c r="G296" s="7" t="n">
        <x:v>0</x:v>
      </x:c>
      <x:c r="H296" s="7" t="n">
        <x:v>0</x:v>
      </x:c>
      <x:c r="I296" s="7" t="n">
        <x:v>0</x:v>
      </x:c>
      <x:c r="J296" s="7" t="n">
        <x:v>0</x:v>
      </x:c>
      <x:c r="K296" s="7" t="n">
        <x:v>0</x:v>
      </x:c>
      <x:c r="L296" s="26" t="n">
        <x:f>F296*'Service inputs'!B67*'Service inputs'!C67</x:f>
        <x:v>52</x:v>
      </x:c>
      <x:c r="M296" s="26" t="n">
        <x:f>F296*E296*'Service inputs'!D67</x:f>
        <x:v>0.021357629000000003</x:v>
      </x:c>
      <x:c r="N296" s="26" t="n">
        <x:f>F296*E296*'Service inputs'!E67</x:f>
        <x:v>0.042715258000000006</x:v>
      </x:c>
      <x:c r="O296" s="26" t="n">
        <x:f>F296*E296*'Service inputs'!F67</x:f>
        <x:v>0</x:v>
      </x:c>
      <x:c r="P296" s="26" t="n">
        <x:f>L296+F296*G296*'Service inputs'!$B$17*'Service inputs'!$B$18*'Service inputs'!$B$19+M296*('Service inputs'!$B$20*'Service inputs'!$B$21+'Service inputs'!$B$22)+N296*'Service inputs'!$B$23+F296*(H296*'Service inputs'!$B$28*'Service inputs'!$B$29+I296*'Service inputs'!$B$24*'Service inputs'!$B$25+J296*'Service inputs'!$B$26*'Service inputs'!$B$27+K296*'Service inputs'!$B$30*'Service inputs'!$B$31)</x:f>
        <x:v>57.617056427</x:v>
      </x:c>
      <x:c r="Q296" s="26" t="n">
        <x:f>O296/SUM($O$5:$O$320)*SUMIF(Workload!$A$5:$A$40,"Ecology",Workload!$G$5:$G$40)</x:f>
        <x:v>0</x:v>
      </x:c>
      <x:c r="R296" s="27" t="n">
        <x:f>P296/SUMIF(Workload!$A$5:$A$40,"Grounds",Workload!$G$5:$G$40)*Staffing!$J$5+Q296/SUMIF(Workload!$A$5:$A$40,"Ecology",Workload!$G$5:$G$40)*Staffing!$J$7</x:f>
        <x:v>5855.843700408856</x:v>
      </x:c>
      <x:c r="S296" s="7" t="n">
        <x:v>5</x:v>
      </x:c>
      <x:c r="T296" s="23" t="n">
        <x:v>0.2</x:v>
      </x:c>
      <x:c r="U296" s="7" t="n">
        <x:v>1</x:v>
      </x:c>
      <x:c r="V296" s="7" t="n">
        <x:v>0</x:v>
      </x:c>
      <x:c r="W296" s="7" t="str">
        <x:v>https://parks.portlandciviclab.org/parks/vermont-hills-community-garden-833</x:v>
      </x:c>
    </x:row>
    <x:row r="297" ht="23" customHeight="1">
      <x:c r="A297" s="8" t="str">
        <x:v>1383</x:v>
      </x:c>
      <x:c r="B297" s="8" t="str">
        <x:v>Vestal Community Garden</x:v>
      </x:c>
      <x:c r="C297" s="8" t="str">
        <x:v>community-garden</x:v>
      </x:c>
      <x:c r="D297" s="8" t="str">
        <x:v>District 3</x:v>
      </x:c>
      <x:c r="E297" s="18" t="n">
        <x:v>0.38524191</x:v>
      </x:c>
      <x:c r="F297" s="8" t="n">
        <x:v>1</x:v>
      </x:c>
      <x:c r="G297" s="8" t="n">
        <x:v>0</x:v>
      </x:c>
      <x:c r="H297" s="8" t="n">
        <x:v>0</x:v>
      </x:c>
      <x:c r="I297" s="8" t="n">
        <x:v>0</x:v>
      </x:c>
      <x:c r="J297" s="8" t="n">
        <x:v>0</x:v>
      </x:c>
      <x:c r="K297" s="8" t="n">
        <x:v>0</x:v>
      </x:c>
      <x:c r="L297" s="24" t="n">
        <x:f>F297*'Service inputs'!B67*'Service inputs'!C67</x:f>
        <x:v>52</x:v>
      </x:c>
      <x:c r="M297" s="24" t="n">
        <x:f>F297*E297*'Service inputs'!D67</x:f>
        <x:v>0.019262095500000003</x:v>
      </x:c>
      <x:c r="N297" s="24" t="n">
        <x:f>F297*E297*'Service inputs'!E67</x:f>
        <x:v>0.038524191000000006</x:v>
      </x:c>
      <x:c r="O297" s="24" t="n">
        <x:f>F297*E297*'Service inputs'!F67</x:f>
        <x:v>0</x:v>
      </x:c>
      <x:c r="P297" s="24" t="n">
        <x:f>L297+F297*G297*'Service inputs'!$B$17*'Service inputs'!$B$18*'Service inputs'!$B$19+M297*('Service inputs'!$B$20*'Service inputs'!$B$21+'Service inputs'!$B$22)+N297*'Service inputs'!$B$23+F297*(H297*'Service inputs'!$B$28*'Service inputs'!$B$29+I297*'Service inputs'!$B$24*'Service inputs'!$B$25+J297*'Service inputs'!$B$26*'Service inputs'!$B$27+K297*'Service inputs'!$B$30*'Service inputs'!$B$31)</x:f>
        <x:v>57.0659311165</x:v>
      </x:c>
      <x:c r="Q297" s="24" t="n">
        <x:f>O297/SUM($O$5:$O$320)*SUMIF(Workload!$A$5:$A$40,"Ecology",Workload!$G$5:$G$40)</x:f>
        <x:v>0</x:v>
      </x:c>
      <x:c r="R297" s="25" t="n">
        <x:f>P297/SUMIF(Workload!$A$5:$A$40,"Grounds",Workload!$G$5:$G$40)*Staffing!$J$5+Q297/SUMIF(Workload!$A$5:$A$40,"Ecology",Workload!$G$5:$G$40)*Staffing!$J$7</x:f>
        <x:v>5799.830709156584</x:v>
      </x:c>
      <x:c r="S297" s="8" t="n">
        <x:v>1</x:v>
      </x:c>
      <x:c r="T297" s="22" t="n">
        <x:v>0</x:v>
      </x:c>
      <x:c r="U297" s="8" t="n">
        <x:v>0</x:v>
      </x:c>
      <x:c r="V297" s="8" t="n">
        <x:v>0</x:v>
      </x:c>
      <x:c r="W297" s="8" t="str">
        <x:v>https://parks.portlandciviclab.org/parks/vestal-community-garden-1383</x:v>
      </x:c>
    </x:row>
    <x:row r="298" ht="23" customHeight="1">
      <x:c r="A298" s="7" t="str">
        <x:v>1407</x:v>
      </x:c>
      <x:c r="B298" s="7" t="str">
        <x:v>Veterans Creek Natural Area</x:v>
      </x:c>
      <x:c r="C298" s="7" t="str">
        <x:v>natural-area</x:v>
      </x:c>
      <x:c r="D298" s="7" t="str">
        <x:v>District 1</x:v>
      </x:c>
      <x:c r="E298" s="19" t="n">
        <x:v>5.77414819</x:v>
      </x:c>
      <x:c r="F298" s="7" t="n">
        <x:v>1</x:v>
      </x:c>
      <x:c r="G298" s="7" t="n">
        <x:v>0</x:v>
      </x:c>
      <x:c r="H298" s="7" t="n">
        <x:v>0</x:v>
      </x:c>
      <x:c r="I298" s="7" t="n">
        <x:v>0</x:v>
      </x:c>
      <x:c r="J298" s="7" t="n">
        <x:v>0</x:v>
      </x:c>
      <x:c r="K298" s="7" t="n">
        <x:v>0</x:v>
      </x:c>
      <x:c r="L298" s="26" t="n">
        <x:f>F298*'Service inputs'!B66*'Service inputs'!C66</x:f>
        <x:v>78</x:v>
      </x:c>
      <x:c r="M298" s="26" t="n">
        <x:f>F298*E298*'Service inputs'!D66</x:f>
        <x:v>0.02887074095</x:v>
      </x:c>
      <x:c r="N298" s="26" t="n">
        <x:f>F298*E298*'Service inputs'!E66</x:f>
        <x:v>0</x:v>
      </x:c>
      <x:c r="O298" s="26" t="n">
        <x:f>F298*E298*'Service inputs'!F66</x:f>
        <x:v>5.7164067081</x:v>
      </x:c>
      <x:c r="P298" s="26" t="n">
        <x:f>L298+F298*G298*'Service inputs'!$B$17*'Service inputs'!$B$18*'Service inputs'!$B$19+M298*('Service inputs'!$B$20*'Service inputs'!$B$21+'Service inputs'!$B$22)+N298*'Service inputs'!$B$23+F298*(H298*'Service inputs'!$B$28*'Service inputs'!$B$29+I298*'Service inputs'!$B$24*'Service inputs'!$B$25+J298*'Service inputs'!$B$26*'Service inputs'!$B$27+K298*'Service inputs'!$B$30*'Service inputs'!$B$31)</x:f>
        <x:v>78.66402704185</x:v>
      </x:c>
      <x:c r="Q298" s="26" t="n">
        <x:f>O298/SUM($O$5:$O$320)*SUMIF(Workload!$A$5:$A$40,"Ecology",Workload!$G$5:$G$40)</x:f>
        <x:v>60.009172721640766</x:v>
      </x:c>
      <x:c r="R298" s="27" t="n">
        <x:f>P298/SUMIF(Workload!$A$5:$A$40,"Grounds",Workload!$G$5:$G$40)*Staffing!$J$5+Q298/SUMIF(Workload!$A$5:$A$40,"Ecology",Workload!$G$5:$G$40)*Staffing!$J$7</x:f>
        <x:v>14940.02609013058</x:v>
      </x:c>
      <x:c r="S298" s="7" t="n">
        <x:v>0</x:v>
      </x:c>
      <x:c r="T298" s="23" t="n">
        <x:v>0</x:v>
      </x:c>
      <x:c r="U298" s="7" t="n">
        <x:v>0</x:v>
      </x:c>
      <x:c r="V298" s="7" t="n">
        <x:v>0</x:v>
      </x:c>
      <x:c r="W298" s="7" t="str">
        <x:v>https://parks.portlandciviclab.org/parks/veterans-creek-natural-area-1407</x:v>
      </x:c>
    </x:row>
    <x:row r="299" ht="23" customHeight="1">
      <x:c r="A299" s="8" t="str">
        <x:v>893</x:v>
      </x:c>
      <x:c r="B299" s="8" t="str">
        <x:v>Wahoo Creek Natural Area</x:v>
      </x:c>
      <x:c r="C299" s="8" t="str">
        <x:v>natural-area</x:v>
      </x:c>
      <x:c r="D299" s="8" t="str">
        <x:v>District 1</x:v>
      </x:c>
      <x:c r="E299" s="18" t="n">
        <x:v>37.48777845</x:v>
      </x:c>
      <x:c r="F299" s="8" t="n">
        <x:v>1</x:v>
      </x:c>
      <x:c r="G299" s="8" t="n">
        <x:v>0</x:v>
      </x:c>
      <x:c r="H299" s="8" t="n">
        <x:v>0</x:v>
      </x:c>
      <x:c r="I299" s="8" t="n">
        <x:v>0</x:v>
      </x:c>
      <x:c r="J299" s="8" t="n">
        <x:v>0</x:v>
      </x:c>
      <x:c r="K299" s="8" t="n">
        <x:v>0</x:v>
      </x:c>
      <x:c r="L299" s="24" t="n">
        <x:f>F299*'Service inputs'!B66*'Service inputs'!C66</x:f>
        <x:v>78</x:v>
      </x:c>
      <x:c r="M299" s="24" t="n">
        <x:f>F299*E299*'Service inputs'!D66</x:f>
        <x:v>0.18743889225000002</x:v>
      </x:c>
      <x:c r="N299" s="24" t="n">
        <x:f>F299*E299*'Service inputs'!E66</x:f>
        <x:v>0</x:v>
      </x:c>
      <x:c r="O299" s="24" t="n">
        <x:f>F299*E299*'Service inputs'!F66</x:f>
        <x:v>37.1129006655</x:v>
      </x:c>
      <x:c r="P299" s="24" t="n">
        <x:f>L299+F299*G299*'Service inputs'!$B$17*'Service inputs'!$B$18*'Service inputs'!$B$19+M299*('Service inputs'!$B$20*'Service inputs'!$B$21+'Service inputs'!$B$22)+N299*'Service inputs'!$B$23+F299*(H299*'Service inputs'!$B$28*'Service inputs'!$B$29+I299*'Service inputs'!$B$24*'Service inputs'!$B$25+J299*'Service inputs'!$B$26*'Service inputs'!$B$27+K299*'Service inputs'!$B$30*'Service inputs'!$B$31)</x:f>
        <x:v>82.31109452175</x:v>
      </x:c>
      <x:c r="Q299" s="24" t="n">
        <x:f>O299/SUM($O$5:$O$320)*SUMIF(Workload!$A$5:$A$40,"Ecology",Workload!$G$5:$G$40)</x:f>
        <x:v>389.6004220765683</x:v>
      </x:c>
      <x:c r="R299" s="25" t="n">
        <x:f>P299/SUMIF(Workload!$A$5:$A$40,"Grounds",Workload!$G$5:$G$40)*Staffing!$J$5+Q299/SUMIF(Workload!$A$5:$A$40,"Ecology",Workload!$G$5:$G$40)*Staffing!$J$7</x:f>
        <x:v>53455.58321350927</x:v>
      </x:c>
      <x:c r="S299" s="8" t="n">
        <x:v>0</x:v>
      </x:c>
      <x:c r="T299" s="22" t="n">
        <x:v>0</x:v>
      </x:c>
      <x:c r="U299" s="8" t="n">
        <x:v>0</x:v>
      </x:c>
      <x:c r="V299" s="8" t="n">
        <x:v>0</x:v>
      </x:c>
      <x:c r="W299" s="8" t="str">
        <x:v>https://parks.portlandciviclab.org/parks/wahoo-creek-natural-area-893</x:v>
      </x:c>
    </x:row>
    <x:row r="300" ht="23" customHeight="1">
      <x:c r="A300" s="7" t="str">
        <x:v>839</x:v>
      </x:c>
      <x:c r="B300" s="7" t="str">
        <x:v>Wallace Park</x:v>
      </x:c>
      <x:c r="C300" s="7" t="str">
        <x:v>developed-park</x:v>
      </x:c>
      <x:c r="D300" s="7" t="str">
        <x:v>District 4</x:v>
      </x:c>
      <x:c r="E300" s="19" t="n">
        <x:v>5.38277651</x:v>
      </x:c>
      <x:c r="F300" s="7" t="n">
        <x:v>1</x:v>
      </x:c>
      <x:c r="G300" s="7" t="n">
        <x:v>2</x:v>
      </x:c>
      <x:c r="H300" s="7" t="n">
        <x:v>1</x:v>
      </x:c>
      <x:c r="I300" s="7" t="n">
        <x:v>3</x:v>
      </x:c>
      <x:c r="J300" s="7" t="n">
        <x:v>4</x:v>
      </x:c>
      <x:c r="K300" s="7" t="n">
        <x:v>0</x:v>
      </x:c>
      <x:c r="L300" s="26" t="n">
        <x:f>F300*'Service inputs'!B65*'Service inputs'!C65</x:f>
        <x:v>547.5</x:v>
      </x:c>
      <x:c r="M300" s="26" t="n">
        <x:f>F300*E300*'Service inputs'!D65</x:f>
        <x:v>2.9605270805000004</x:v>
      </x:c>
      <x:c r="N300" s="26" t="n">
        <x:f>F300*E300*'Service inputs'!E65</x:f>
        <x:v>0.2691388255</x:v>
      </x:c>
      <x:c r="O300" s="26" t="n">
        <x:f>F300*E300*'Service inputs'!F65</x:f>
        <x:v>1.3456941275</x:v>
      </x:c>
      <x:c r="P300" s="26" t="n">
        <x:f>L300+F300*G300*'Service inputs'!$B$17*'Service inputs'!$B$18*'Service inputs'!$B$19+M300*('Service inputs'!$B$20*'Service inputs'!$B$21+'Service inputs'!$B$22)+N300*'Service inputs'!$B$23+F300*(H300*'Service inputs'!$B$28*'Service inputs'!$B$29+I300*'Service inputs'!$B$24*'Service inputs'!$B$25+J300*'Service inputs'!$B$26*'Service inputs'!$B$27+K300*'Service inputs'!$B$30*'Service inputs'!$B$31)</x:f>
        <x:v>1717.3887819115</x:v>
      </x:c>
      <x:c r="Q300" s="26" t="n">
        <x:f>O300/SUM($O$5:$O$320)*SUMIF(Workload!$A$5:$A$40,"Ecology",Workload!$G$5:$G$40)</x:f>
        <x:v>14.126705017895048</x:v>
      </x:c>
      <x:c r="R300" s="27" t="n">
        <x:f>P300/SUMIF(Workload!$A$5:$A$40,"Grounds",Workload!$G$5:$G$40)*Staffing!$J$5+Q300/SUMIF(Workload!$A$5:$A$40,"Ecology",Workload!$G$5:$G$40)*Staffing!$J$7</x:f>
        <x:v>176179.78580418957</x:v>
      </x:c>
      <x:c r="S300" s="7" t="n">
        <x:v>135</x:v>
      </x:c>
      <x:c r="T300" s="23" t="n">
        <x:v>0.1259259259259259</x:v>
      </x:c>
      <x:c r="U300" s="7" t="n">
        <x:v>6</x:v>
      </x:c>
      <x:c r="V300" s="7" t="n">
        <x:v>0</x:v>
      </x:c>
      <x:c r="W300" s="7" t="str">
        <x:v>https://parks.portlandciviclab.org/parks/wallace-park-839</x:v>
      </x:c>
    </x:row>
    <x:row r="301" ht="23" customHeight="1">
      <x:c r="A301" s="8" t="str">
        <x:v>1264</x:v>
      </x:c>
      <x:c r="B301" s="8" t="str">
        <x:v>Washington High School Property</x:v>
      </x:c>
      <x:c r="C301" s="8" t="str">
        <x:v>uncertain</x:v>
      </x:c>
      <x:c r="D301" s="8" t="str">
        <x:v>District 3</x:v>
      </x:c>
      <x:c r="E301" s="18" t="n">
        <x:v>4.49960081</x:v>
      </x:c>
      <x:c r="F301" s="8" t="n">
        <x:v>1</x:v>
      </x:c>
      <x:c r="G301" s="8" t="n">
        <x:v>0</x:v>
      </x:c>
      <x:c r="H301" s="8" t="n">
        <x:v>0</x:v>
      </x:c>
      <x:c r="I301" s="8" t="n">
        <x:v>0</x:v>
      </x:c>
      <x:c r="J301" s="8" t="n">
        <x:v>0</x:v>
      </x:c>
      <x:c r="K301" s="8" t="n">
        <x:v>0</x:v>
      </x:c>
      <x:c r="L301" s="24" t="n">
        <x:f>F301*'Service inputs'!B74*'Service inputs'!C74</x:f>
        <x:v>52</x:v>
      </x:c>
      <x:c r="M301" s="24" t="n">
        <x:f>F301*E301*'Service inputs'!D74</x:f>
        <x:v>0.44996008099999996</x:v>
      </x:c>
      <x:c r="N301" s="24" t="n">
        <x:f>F301*E301*'Service inputs'!E74</x:f>
        <x:v>0.0899920162</x:v>
      </x:c>
      <x:c r="O301" s="24" t="n">
        <x:f>F301*E301*'Service inputs'!F74</x:f>
        <x:v>2.249800405</x:v>
      </x:c>
      <x:c r="P301" s="24" t="n">
        <x:f>L301+F301*G301*'Service inputs'!$B$17*'Service inputs'!$B$18*'Service inputs'!$B$19+M301*('Service inputs'!$B$20*'Service inputs'!$B$21+'Service inputs'!$B$22)+N301*'Service inputs'!$B$23+F301*(H301*'Service inputs'!$B$28*'Service inputs'!$B$29+I301*'Service inputs'!$B$24*'Service inputs'!$B$25+J301*'Service inputs'!$B$26*'Service inputs'!$B$27+K301*'Service inputs'!$B$30*'Service inputs'!$B$31)</x:f>
        <x:v>73.14812380699999</x:v>
      </x:c>
      <x:c r="Q301" s="24" t="n">
        <x:f>O301/SUM($O$5:$O$320)*SUMIF(Workload!$A$5:$A$40,"Ecology",Workload!$G$5:$G$40)</x:f>
        <x:v>23.61774939868407</x:v>
      </x:c>
      <x:c r="R301" s="25" t="n">
        <x:f>P301/SUMIF(Workload!$A$5:$A$40,"Grounds",Workload!$G$5:$G$40)*Staffing!$J$5+Q301/SUMIF(Workload!$A$5:$A$40,"Ecology",Workload!$G$5:$G$40)*Staffing!$J$7</x:f>
        <x:v>10167.701016492025</x:v>
      </x:c>
      <x:c r="S301" s="8" t="n">
        <x:v>10</x:v>
      </x:c>
      <x:c r="T301" s="22" t="n">
        <x:v>0.4</x:v>
      </x:c>
      <x:c r="U301" s="8" t="n">
        <x:v>0</x:v>
      </x:c>
      <x:c r="V301" s="8" t="n">
        <x:v>0</x:v>
      </x:c>
      <x:c r="W301" s="8" t="str">
        <x:v>https://parks.portlandciviclab.org/parks/washington-high-school-property-1264</x:v>
      </x:c>
    </x:row>
    <x:row r="302" ht="23" customHeight="1">
      <x:c r="A302" s="7" t="str">
        <x:v>841</x:v>
      </x:c>
      <x:c r="B302" s="7" t="str">
        <x:v>Washington Park</x:v>
      </x:c>
      <x:c r="C302" s="7" t="str">
        <x:v>developed-park</x:v>
      </x:c>
      <x:c r="D302" s="7" t="str">
        <x:v>District 4</x:v>
      </x:c>
      <x:c r="E302" s="19" t="n">
        <x:v>243.07657825</x:v>
      </x:c>
      <x:c r="F302" s="7" t="n">
        <x:v>1</x:v>
      </x:c>
      <x:c r="G302" s="7" t="n">
        <x:v>4</x:v>
      </x:c>
      <x:c r="H302" s="7" t="n">
        <x:v>1</x:v>
      </x:c>
      <x:c r="I302" s="7" t="n">
        <x:v>2</x:v>
      </x:c>
      <x:c r="J302" s="7" t="n">
        <x:v>6</x:v>
      </x:c>
      <x:c r="K302" s="7" t="n">
        <x:v>0</x:v>
      </x:c>
      <x:c r="L302" s="26" t="n">
        <x:f>F302*'Service inputs'!B65*'Service inputs'!C65</x:f>
        <x:v>547.5</x:v>
      </x:c>
      <x:c r="M302" s="26" t="n">
        <x:f>F302*E302*'Service inputs'!D65</x:f>
        <x:v>133.69211803750002</x:v>
      </x:c>
      <x:c r="N302" s="26" t="n">
        <x:f>F302*E302*'Service inputs'!E65</x:f>
        <x:v>12.153828912500002</x:v>
      </x:c>
      <x:c r="O302" s="26" t="n">
        <x:f>F302*E302*'Service inputs'!F65</x:f>
        <x:v>60.7691445625</x:v>
      </x:c>
      <x:c r="P302" s="26" t="n">
        <x:f>L302+F302*G302*'Service inputs'!$B$17*'Service inputs'!$B$18*'Service inputs'!$B$19+M302*('Service inputs'!$B$20*'Service inputs'!$B$21+'Service inputs'!$B$22)+N302*'Service inputs'!$B$23+F302*(H302*'Service inputs'!$B$28*'Service inputs'!$B$29+I302*'Service inputs'!$B$24*'Service inputs'!$B$25+J302*'Service inputs'!$B$26*'Service inputs'!$B$27+K302*'Service inputs'!$B$30*'Service inputs'!$B$31)</x:f>
        <x:v>6724.878184362501</x:v>
      </x:c>
      <x:c r="Q302" s="26" t="n">
        <x:f>O302/SUM($O$5:$O$320)*SUMIF(Workload!$A$5:$A$40,"Ecology",Workload!$G$5:$G$40)</x:f>
        <x:v>637.9367806405608</x:v>
      </x:c>
      <x:c r="R302" s="27" t="n">
        <x:f>P302/SUMIF(Workload!$A$5:$A$40,"Grounds",Workload!$G$5:$G$40)*Staffing!$J$5+Q302/SUMIF(Workload!$A$5:$A$40,"Ecology",Workload!$G$5:$G$40)*Staffing!$J$7</x:f>
        <x:v>757306.2435149308</x:v>
      </x:c>
      <x:c r="S302" s="7" t="n">
        <x:v>226</x:v>
      </x:c>
      <x:c r="T302" s="23" t="n">
        <x:v>0.07964601769911504</x:v>
      </x:c>
      <x:c r="U302" s="7" t="n">
        <x:v>8</x:v>
      </x:c>
      <x:c r="V302" s="7" t="n">
        <x:v>2</x:v>
      </x:c>
      <x:c r="W302" s="7" t="str">
        <x:v>https://parks.portlandciviclab.org/parks/washington-park-841</x:v>
      </x:c>
    </x:row>
    <x:row r="303" ht="23" customHeight="1">
      <x:c r="A303" s="8" t="str">
        <x:v>844</x:v>
      </x:c>
      <x:c r="B303" s="8" t="str">
        <x:v>Water and Gibbs Community Garden</x:v>
      </x:c>
      <x:c r="C303" s="8" t="str">
        <x:v>community-garden</x:v>
      </x:c>
      <x:c r="D303" s="8" t="str">
        <x:v>District 4</x:v>
      </x:c>
      <x:c r="E303" s="18" t="n">
        <x:v>0.26481069</x:v>
      </x:c>
      <x:c r="F303" s="8" t="n">
        <x:v>1</x:v>
      </x:c>
      <x:c r="G303" s="8" t="n">
        <x:v>0</x:v>
      </x:c>
      <x:c r="H303" s="8" t="n">
        <x:v>0</x:v>
      </x:c>
      <x:c r="I303" s="8" t="n">
        <x:v>0</x:v>
      </x:c>
      <x:c r="J303" s="8" t="n">
        <x:v>0</x:v>
      </x:c>
      <x:c r="K303" s="8" t="n">
        <x:v>0</x:v>
      </x:c>
      <x:c r="L303" s="24" t="n">
        <x:f>F303*'Service inputs'!B67*'Service inputs'!C67</x:f>
        <x:v>52</x:v>
      </x:c>
      <x:c r="M303" s="24" t="n">
        <x:f>F303*E303*'Service inputs'!D67</x:f>
        <x:v>0.013240534500000001</x:v>
      </x:c>
      <x:c r="N303" s="24" t="n">
        <x:f>F303*E303*'Service inputs'!E67</x:f>
        <x:v>0.026481069000000003</x:v>
      </x:c>
      <x:c r="O303" s="24" t="n">
        <x:f>F303*E303*'Service inputs'!F67</x:f>
        <x:v>0</x:v>
      </x:c>
      <x:c r="P303" s="24" t="n">
        <x:f>L303+F303*G303*'Service inputs'!$B$17*'Service inputs'!$B$18*'Service inputs'!$B$19+M303*('Service inputs'!$B$20*'Service inputs'!$B$21+'Service inputs'!$B$22)+N303*'Service inputs'!$B$23+F303*(H303*'Service inputs'!$B$28*'Service inputs'!$B$29+I303*'Service inputs'!$B$24*'Service inputs'!$B$25+J303*'Service inputs'!$B$26*'Service inputs'!$B$27+K303*'Service inputs'!$B$30*'Service inputs'!$B$31)</x:f>
        <x:v>55.4822605735</x:v>
      </x:c>
      <x:c r="Q303" s="24" t="n">
        <x:f>O303/SUM($O$5:$O$320)*SUMIF(Workload!$A$5:$A$40,"Ecology",Workload!$G$5:$G$40)</x:f>
        <x:v>0</x:v>
      </x:c>
      <x:c r="R303" s="25" t="n">
        <x:f>P303/SUMIF(Workload!$A$5:$A$40,"Grounds",Workload!$G$5:$G$40)*Staffing!$J$5+Q303/SUMIF(Workload!$A$5:$A$40,"Ecology",Workload!$G$5:$G$40)*Staffing!$J$7</x:f>
        <x:v>5638.876162919059</x:v>
      </x:c>
      <x:c r="S303" s="8" t="n">
        <x:v>1</x:v>
      </x:c>
      <x:c r="T303" s="22" t="n">
        <x:v>0</x:v>
      </x:c>
      <x:c r="U303" s="8" t="n">
        <x:v>0</x:v>
      </x:c>
      <x:c r="V303" s="8" t="n">
        <x:v>0</x:v>
      </x:c>
      <x:c r="W303" s="8" t="str">
        <x:v>https://parks.portlandciviclab.org/parks/water-and-gibbs-community-garden-844</x:v>
      </x:c>
    </x:row>
    <x:row r="304" ht="23" customHeight="1">
      <x:c r="A304" s="7" t="str">
        <x:v>1412</x:v>
      </x:c>
      <x:c r="B304" s="7" t="str">
        <x:v>Waud Bluff Trail</x:v>
      </x:c>
      <x:c r="C304" s="7" t="str">
        <x:v>corridor</x:v>
      </x:c>
      <x:c r="D304" s="7" t="str">
        <x:v>District 2</x:v>
      </x:c>
      <x:c r="E304" s="19" t="n">
        <x:v>10.1800003</x:v>
      </x:c>
      <x:c r="F304" s="7" t="n">
        <x:v>1</x:v>
      </x:c>
      <x:c r="G304" s="7" t="n">
        <x:v>0</x:v>
      </x:c>
      <x:c r="H304" s="7" t="n">
        <x:v>0</x:v>
      </x:c>
      <x:c r="I304" s="7" t="n">
        <x:v>0</x:v>
      </x:c>
      <x:c r="J304" s="7" t="n">
        <x:v>0</x:v>
      </x:c>
      <x:c r="K304" s="7" t="n">
        <x:v>0</x:v>
      </x:c>
      <x:c r="L304" s="26" t="n">
        <x:f>F304*'Service inputs'!B70*'Service inputs'!C70</x:f>
        <x:v>104</x:v>
      </x:c>
      <x:c r="M304" s="26" t="n">
        <x:f>F304*E304*'Service inputs'!D70</x:f>
        <x:v>0.305400009</x:v>
      </x:c>
      <x:c r="N304" s="26" t="n">
        <x:f>F304*E304*'Service inputs'!E70</x:f>
        <x:v>0.101800003</x:v>
      </x:c>
      <x:c r="O304" s="26" t="n">
        <x:f>F304*E304*'Service inputs'!F70</x:f>
        <x:v>8.653000255</x:v>
      </x:c>
      <x:c r="P304" s="26" t="n">
        <x:f>L304+F304*G304*'Service inputs'!$B$17*'Service inputs'!$B$18*'Service inputs'!$B$19+M304*('Service inputs'!$B$20*'Service inputs'!$B$21+'Service inputs'!$B$22)+N304*'Service inputs'!$B$23+F304*(H304*'Service inputs'!$B$28*'Service inputs'!$B$29+I304*'Service inputs'!$B$24*'Service inputs'!$B$25+J304*'Service inputs'!$B$26*'Service inputs'!$B$27+K304*'Service inputs'!$B$30*'Service inputs'!$B$31)</x:f>
        <x:v>123.240200567</x:v>
      </x:c>
      <x:c r="Q304" s="26" t="n">
        <x:f>O304/SUM($O$5:$O$320)*SUMIF(Workload!$A$5:$A$40,"Ecology",Workload!$G$5:$G$40)</x:f>
        <x:v>90.83667649590426</x:v>
      </x:c>
      <x:c r="R304" s="27" t="n">
        <x:f>P304/SUMIF(Workload!$A$5:$A$40,"Grounds",Workload!$G$5:$G$40)*Staffing!$J$5+Q304/SUMIF(Workload!$A$5:$A$40,"Ecology",Workload!$G$5:$G$40)*Staffing!$J$7</x:f>
        <x:v>23038.2628144185</x:v>
      </x:c>
      <x:c r="S304" s="7" t="n">
        <x:v>3</x:v>
      </x:c>
      <x:c r="T304" s="23" t="n">
        <x:v>0</x:v>
      </x:c>
      <x:c r="U304" s="7" t="n">
        <x:v>0</x:v>
      </x:c>
      <x:c r="V304" s="7" t="n">
        <x:v>0</x:v>
      </x:c>
      <x:c r="W304" s="7" t="str">
        <x:v>https://parks.portlandciviclab.org/parks/waud-bluff-trail-1412</x:v>
      </x:c>
    </x:row>
    <x:row r="305" ht="23" customHeight="1">
      <x:c r="A305" s="8" t="str">
        <x:v>846</x:v>
      </x:c>
      <x:c r="B305" s="8" t="str">
        <x:v>Wellington Park</x:v>
      </x:c>
      <x:c r="C305" s="8" t="str">
        <x:v>developed-park</x:v>
      </x:c>
      <x:c r="D305" s="8" t="str">
        <x:v>District 3</x:v>
      </x:c>
      <x:c r="E305" s="18" t="n">
        <x:v>3.96809213</x:v>
      </x:c>
      <x:c r="F305" s="8" t="n">
        <x:v>1</x:v>
      </x:c>
      <x:c r="G305" s="8" t="n">
        <x:v>1</x:v>
      </x:c>
      <x:c r="H305" s="8" t="n">
        <x:v>1</x:v>
      </x:c>
      <x:c r="I305" s="8" t="n">
        <x:v>1</x:v>
      </x:c>
      <x:c r="J305" s="8" t="n">
        <x:v>0</x:v>
      </x:c>
      <x:c r="K305" s="8" t="n">
        <x:v>0</x:v>
      </x:c>
      <x:c r="L305" s="24" t="n">
        <x:f>F305*'Service inputs'!B65*'Service inputs'!C65</x:f>
        <x:v>547.5</x:v>
      </x:c>
      <x:c r="M305" s="24" t="n">
        <x:f>F305*E305*'Service inputs'!D65</x:f>
        <x:v>2.1824506715000003</x:v>
      </x:c>
      <x:c r="N305" s="24" t="n">
        <x:f>F305*E305*'Service inputs'!E65</x:f>
        <x:v>0.19840460650000002</x:v>
      </x:c>
      <x:c r="O305" s="24" t="n">
        <x:f>F305*E305*'Service inputs'!F65</x:f>
        <x:v>0.9920230325</x:v>
      </x:c>
      <x:c r="P305" s="24" t="n">
        <x:f>L305+F305*G305*'Service inputs'!$B$17*'Service inputs'!$B$18*'Service inputs'!$B$19+M305*('Service inputs'!$B$20*'Service inputs'!$B$21+'Service inputs'!$B$22)+N305*'Service inputs'!$B$23+F305*(H305*'Service inputs'!$B$28*'Service inputs'!$B$29+I305*'Service inputs'!$B$24*'Service inputs'!$B$25+J305*'Service inputs'!$B$26*'Service inputs'!$B$27+K305*'Service inputs'!$B$30*'Service inputs'!$B$31)</x:f>
        <x:v>1087.2549182245</x:v>
      </x:c>
      <x:c r="Q305" s="24" t="n">
        <x:f>O305/SUM($O$5:$O$320)*SUMIF(Workload!$A$5:$A$40,"Ecology",Workload!$G$5:$G$40)</x:f>
        <x:v>10.413968869077353</x:v>
      </x:c>
      <x:c r="R305" s="25" t="n">
        <x:f>P305/SUMIF(Workload!$A$5:$A$40,"Grounds",Workload!$G$5:$G$40)*Staffing!$J$5+Q305/SUMIF(Workload!$A$5:$A$40,"Ecology",Workload!$G$5:$G$40)*Staffing!$J$7</x:f>
        <x:v>111707.1609619729</x:v>
      </x:c>
      <x:c r="S305" s="8" t="n">
        <x:v>38</x:v>
      </x:c>
      <x:c r="T305" s="22" t="n">
        <x:v>0.07894736842105263</x:v>
      </x:c>
      <x:c r="U305" s="8" t="n">
        <x:v>1</x:v>
      </x:c>
      <x:c r="V305" s="8" t="n">
        <x:v>0</x:v>
      </x:c>
      <x:c r="W305" s="8" t="str">
        <x:v>https://parks.portlandciviclab.org/parks/wellington-park-846</x:v>
      </x:c>
    </x:row>
    <x:row r="306" ht="23" customHeight="1">
      <x:c r="A306" s="7" t="str">
        <x:v>1321</x:v>
      </x:c>
      <x:c r="B306" s="7" t="str">
        <x:v>West Lents Floodplain</x:v>
      </x:c>
      <x:c r="C306" s="7" t="str">
        <x:v>natural-area</x:v>
      </x:c>
      <x:c r="D306" s="7" t="str">
        <x:v>District 1</x:v>
      </x:c>
      <x:c r="E306" s="19" t="n">
        <x:v>5.25968324</x:v>
      </x:c>
      <x:c r="F306" s="7" t="n">
        <x:v>1</x:v>
      </x:c>
      <x:c r="G306" s="7" t="n">
        <x:v>0</x:v>
      </x:c>
      <x:c r="H306" s="7" t="n">
        <x:v>0</x:v>
      </x:c>
      <x:c r="I306" s="7" t="n">
        <x:v>0</x:v>
      </x:c>
      <x:c r="J306" s="7" t="n">
        <x:v>0</x:v>
      </x:c>
      <x:c r="K306" s="7" t="n">
        <x:v>0</x:v>
      </x:c>
      <x:c r="L306" s="26" t="n">
        <x:f>F306*'Service inputs'!B66*'Service inputs'!C66</x:f>
        <x:v>78</x:v>
      </x:c>
      <x:c r="M306" s="26" t="n">
        <x:f>F306*E306*'Service inputs'!D66</x:f>
        <x:v>0.0262984162</x:v>
      </x:c>
      <x:c r="N306" s="26" t="n">
        <x:f>F306*E306*'Service inputs'!E66</x:f>
        <x:v>0</x:v>
      </x:c>
      <x:c r="O306" s="26" t="n">
        <x:f>F306*E306*'Service inputs'!F66</x:f>
        <x:v>5.2070864076</x:v>
      </x:c>
      <x:c r="P306" s="26" t="n">
        <x:f>L306+F306*G306*'Service inputs'!$B$17*'Service inputs'!$B$18*'Service inputs'!$B$19+M306*('Service inputs'!$B$20*'Service inputs'!$B$21+'Service inputs'!$B$22)+N306*'Service inputs'!$B$23+F306*(H306*'Service inputs'!$B$28*'Service inputs'!$B$29+I306*'Service inputs'!$B$24*'Service inputs'!$B$25+J306*'Service inputs'!$B$26*'Service inputs'!$B$27+K306*'Service inputs'!$B$30*'Service inputs'!$B$31)</x:f>
        <x:v>78.6048635726</x:v>
      </x:c>
      <x:c r="Q306" s="26" t="n">
        <x:f>O306/SUM($O$5:$O$320)*SUMIF(Workload!$A$5:$A$40,"Ecology",Workload!$G$5:$G$40)</x:f>
        <x:v>54.66247654622096</x:v>
      </x:c>
      <x:c r="R306" s="27" t="n">
        <x:f>P306/SUMIF(Workload!$A$5:$A$40,"Grounds",Workload!$G$5:$G$40)*Staffing!$J$5+Q306/SUMIF(Workload!$A$5:$A$40,"Ecology",Workload!$G$5:$G$40)*Staffing!$J$7</x:f>
        <x:v>14315.218901320868</x:v>
      </x:c>
      <x:c r="S306" s="7" t="n">
        <x:v>0</x:v>
      </x:c>
      <x:c r="T306" s="23" t="n">
        <x:v>0</x:v>
      </x:c>
      <x:c r="U306" s="7" t="n">
        <x:v>0</x:v>
      </x:c>
      <x:c r="V306" s="7" t="n">
        <x:v>0</x:v>
      </x:c>
      <x:c r="W306" s="7" t="str">
        <x:v>https://parks.portlandciviclab.org/parks/west-lents-floodplain-1321</x:v>
      </x:c>
    </x:row>
    <x:row r="307" ht="23" customHeight="1">
      <x:c r="A307" s="8" t="str">
        <x:v>850</x:v>
      </x:c>
      <x:c r="B307" s="8" t="str">
        <x:v>West Powellhurst Park</x:v>
      </x:c>
      <x:c r="C307" s="8" t="str">
        <x:v>developed-park</x:v>
      </x:c>
      <x:c r="D307" s="8" t="str">
        <x:v>District 1</x:v>
      </x:c>
      <x:c r="E307" s="18" t="n">
        <x:v>3.68263568</x:v>
      </x:c>
      <x:c r="F307" s="8" t="n">
        <x:v>1</x:v>
      </x:c>
      <x:c r="G307" s="8" t="n">
        <x:v>0</x:v>
      </x:c>
      <x:c r="H307" s="8" t="n">
        <x:v>0</x:v>
      </x:c>
      <x:c r="I307" s="8" t="n">
        <x:v>3</x:v>
      </x:c>
      <x:c r="J307" s="8" t="n">
        <x:v>0</x:v>
      </x:c>
      <x:c r="K307" s="8" t="n">
        <x:v>0</x:v>
      </x:c>
      <x:c r="L307" s="24" t="n">
        <x:f>F307*'Service inputs'!B65*'Service inputs'!C65</x:f>
        <x:v>547.5</x:v>
      </x:c>
      <x:c r="M307" s="24" t="n">
        <x:f>F307*E307*'Service inputs'!D65</x:f>
        <x:v>2.025449624</x:v>
      </x:c>
      <x:c r="N307" s="24" t="n">
        <x:f>F307*E307*'Service inputs'!E65</x:f>
        <x:v>0.18413178400000002</x:v>
      </x:c>
      <x:c r="O307" s="24" t="n">
        <x:f>F307*E307*'Service inputs'!F65</x:f>
        <x:v>0.92065892</x:v>
      </x:c>
      <x:c r="P307" s="24" t="n">
        <x:f>L307+F307*G307*'Service inputs'!$B$17*'Service inputs'!$B$18*'Service inputs'!$B$19+M307*('Service inputs'!$B$20*'Service inputs'!$B$21+'Service inputs'!$B$22)+N307*'Service inputs'!$B$23+F307*(H307*'Service inputs'!$B$28*'Service inputs'!$B$29+I307*'Service inputs'!$B$24*'Service inputs'!$B$25+J307*'Service inputs'!$B$26*'Service inputs'!$B$27+K307*'Service inputs'!$B$30*'Service inputs'!$B$31)</x:f>
        <x:v>931.181155432</x:v>
      </x:c>
      <x:c r="Q307" s="24" t="n">
        <x:f>O307/SUM($O$5:$O$320)*SUMIF(Workload!$A$5:$A$40,"Ecology",Workload!$G$5:$G$40)</x:f>
        <x:v>9.664809200806916</x:v>
      </x:c>
      <x:c r="R307" s="25" t="n">
        <x:f>P307/SUMIF(Workload!$A$5:$A$40,"Grounds",Workload!$G$5:$G$40)*Staffing!$J$5+Q307/SUMIF(Workload!$A$5:$A$40,"Ecology",Workload!$G$5:$G$40)*Staffing!$J$7</x:f>
        <x:v>95758.07920552563</x:v>
      </x:c>
      <x:c r="S307" s="8" t="n">
        <x:v>18</x:v>
      </x:c>
      <x:c r="T307" s="22" t="n">
        <x:v>0.2222222222222222</x:v>
      </x:c>
      <x:c r="U307" s="8" t="n">
        <x:v>2</x:v>
      </x:c>
      <x:c r="V307" s="8" t="n">
        <x:v>0</x:v>
      </x:c>
      <x:c r="W307" s="8" t="str">
        <x:v>https://parks.portlandciviclab.org/parks/west-powellhurst-park-850</x:v>
      </x:c>
    </x:row>
    <x:row r="308" ht="23" customHeight="1">
      <x:c r="A308" s="7" t="str">
        <x:v>852</x:v>
      </x:c>
      <x:c r="B308" s="7" t="str">
        <x:v>Westmoreland Park</x:v>
      </x:c>
      <x:c r="C308" s="7" t="str">
        <x:v>developed-park</x:v>
      </x:c>
      <x:c r="D308" s="7" t="str">
        <x:v>District 4</x:v>
      </x:c>
      <x:c r="E308" s="19" t="n">
        <x:v>43.09213459</x:v>
      </x:c>
      <x:c r="F308" s="7" t="n">
        <x:v>1</x:v>
      </x:c>
      <x:c r="G308" s="7" t="n">
        <x:v>1</x:v>
      </x:c>
      <x:c r="H308" s="7" t="n">
        <x:v>1</x:v>
      </x:c>
      <x:c r="I308" s="7" t="n">
        <x:v>7</x:v>
      </x:c>
      <x:c r="J308" s="7" t="n">
        <x:v>3</x:v>
      </x:c>
      <x:c r="K308" s="7" t="n">
        <x:v>0</x:v>
      </x:c>
      <x:c r="L308" s="26" t="n">
        <x:f>F308*'Service inputs'!B65*'Service inputs'!C65</x:f>
        <x:v>547.5</x:v>
      </x:c>
      <x:c r="M308" s="26" t="n">
        <x:f>F308*E308*'Service inputs'!D65</x:f>
        <x:v>23.700674024500003</x:v>
      </x:c>
      <x:c r="N308" s="26" t="n">
        <x:f>F308*E308*'Service inputs'!E65</x:f>
        <x:v>2.1546067295</x:v>
      </x:c>
      <x:c r="O308" s="26" t="n">
        <x:f>F308*E308*'Service inputs'!F65</x:f>
        <x:v>10.7730336475</x:v>
      </x:c>
      <x:c r="P308" s="26" t="n">
        <x:f>L308+F308*G308*'Service inputs'!$B$17*'Service inputs'!$B$18*'Service inputs'!$B$19+M308*('Service inputs'!$B$20*'Service inputs'!$B$21+'Service inputs'!$B$22)+N308*'Service inputs'!$B$23+F308*(H308*'Service inputs'!$B$28*'Service inputs'!$B$29+I308*'Service inputs'!$B$24*'Service inputs'!$B$25+J308*'Service inputs'!$B$26*'Service inputs'!$B$27+K308*'Service inputs'!$B$30*'Service inputs'!$B$31)</x:f>
        <x:v>2500.9183101035</x:v>
      </x:c>
      <x:c r="Q308" s="26" t="n">
        <x:f>O308/SUM($O$5:$O$320)*SUMIF(Workload!$A$5:$A$40,"Ecology",Workload!$G$5:$G$40)</x:f>
        <x:v>113.09216959192715</x:v>
      </x:c>
      <x:c r="R308" s="27" t="n">
        <x:f>P308/SUMIF(Workload!$A$5:$A$40,"Grounds",Workload!$G$5:$G$40)*Staffing!$J$5+Q308/SUMIF(Workload!$A$5:$A$40,"Ecology",Workload!$G$5:$G$40)*Staffing!$J$7</x:f>
        <x:v>267266.57664280204</x:v>
      </x:c>
      <x:c r="S308" s="7" t="n">
        <x:v>248</x:v>
      </x:c>
      <x:c r="T308" s="23" t="n">
        <x:v>0.08870967741935484</x:v>
      </x:c>
      <x:c r="U308" s="7" t="n">
        <x:v>0</x:v>
      </x:c>
      <x:c r="V308" s="7" t="n">
        <x:v>3</x:v>
      </x:c>
      <x:c r="W308" s="7" t="str">
        <x:v>https://parks.portlandciviclab.org/parks/westmoreland-park-852</x:v>
      </x:c>
    </x:row>
    <x:row r="309" ht="23" customHeight="1">
      <x:c r="A309" s="8" t="str">
        <x:v>856</x:v>
      </x:c>
      <x:c r="B309" s="8" t="str">
        <x:v>Whitaker Ponds Natural Area</x:v>
      </x:c>
      <x:c r="C309" s="8" t="str">
        <x:v>natural-area</x:v>
      </x:c>
      <x:c r="D309" s="8" t="str">
        <x:v>District 2</x:v>
      </x:c>
      <x:c r="E309" s="18" t="n">
        <x:v>25.76079138</x:v>
      </x:c>
      <x:c r="F309" s="8" t="n">
        <x:v>1</x:v>
      </x:c>
      <x:c r="G309" s="8" t="n">
        <x:v>0</x:v>
      </x:c>
      <x:c r="H309" s="8" t="n">
        <x:v>0</x:v>
      </x:c>
      <x:c r="I309" s="8" t="n">
        <x:v>0</x:v>
      </x:c>
      <x:c r="J309" s="8" t="n">
        <x:v>0</x:v>
      </x:c>
      <x:c r="K309" s="8" t="n">
        <x:v>0</x:v>
      </x:c>
      <x:c r="L309" s="24" t="n">
        <x:f>F309*'Service inputs'!B66*'Service inputs'!C66</x:f>
        <x:v>78</x:v>
      </x:c>
      <x:c r="M309" s="24" t="n">
        <x:f>F309*E309*'Service inputs'!D66</x:f>
        <x:v>0.12880395690000002</x:v>
      </x:c>
      <x:c r="N309" s="24" t="n">
        <x:f>F309*E309*'Service inputs'!E66</x:f>
        <x:v>0</x:v>
      </x:c>
      <x:c r="O309" s="24" t="n">
        <x:f>F309*E309*'Service inputs'!F66</x:f>
        <x:v>25.5031834662</x:v>
      </x:c>
      <x:c r="P309" s="24" t="n">
        <x:f>L309+F309*G309*'Service inputs'!$B$17*'Service inputs'!$B$18*'Service inputs'!$B$19+M309*('Service inputs'!$B$20*'Service inputs'!$B$21+'Service inputs'!$B$22)+N309*'Service inputs'!$B$23+F309*(H309*'Service inputs'!$B$28*'Service inputs'!$B$29+I309*'Service inputs'!$B$24*'Service inputs'!$B$25+J309*'Service inputs'!$B$26*'Service inputs'!$B$27+K309*'Service inputs'!$B$30*'Service inputs'!$B$31)</x:f>
        <x:v>80.9624910087</x:v>
      </x:c>
      <x:c r="Q309" s="24" t="n">
        <x:f>O309/SUM($O$5:$O$320)*SUMIF(Workload!$A$5:$A$40,"Ecology",Workload!$G$5:$G$40)</x:f>
        <x:v>267.7249922414227</x:v>
      </x:c>
      <x:c r="R309" s="25" t="n">
        <x:f>P309/SUMIF(Workload!$A$5:$A$40,"Grounds",Workload!$G$5:$G$40)*Staffing!$J$5+Q309/SUMIF(Workload!$A$5:$A$40,"Ecology",Workload!$G$5:$G$40)*Staffing!$J$7</x:f>
        <x:v>39213.396599213156</x:v>
      </x:c>
      <x:c r="S309" s="8" t="n">
        <x:v>6</x:v>
      </x:c>
      <x:c r="T309" s="22" t="n">
        <x:v>0.16666666666666666</x:v>
      </x:c>
      <x:c r="U309" s="8" t="n">
        <x:v>0</x:v>
      </x:c>
      <x:c r="V309" s="8" t="n">
        <x:v>0</x:v>
      </x:c>
      <x:c r="W309" s="8" t="str">
        <x:v>https://parks.portlandciviclab.org/parks/whitaker-ponds-natural-area-856</x:v>
      </x:c>
    </x:row>
    <x:row r="310" ht="23" customHeight="1">
      <x:c r="A310" s="7" t="str">
        <x:v>1414</x:v>
      </x:c>
      <x:c r="B310" s="7" t="str">
        <x:v>Wilkes Headwaters Property</x:v>
      </x:c>
      <x:c r="C310" s="7" t="str">
        <x:v>natural-area</x:v>
      </x:c>
      <x:c r="D310" s="7" t="str">
        <x:v>District 1</x:v>
      </x:c>
      <x:c r="E310" s="19" t="n">
        <x:v>20.70914279</x:v>
      </x:c>
      <x:c r="F310" s="7" t="n">
        <x:v>1</x:v>
      </x:c>
      <x:c r="G310" s="7" t="n">
        <x:v>0</x:v>
      </x:c>
      <x:c r="H310" s="7" t="n">
        <x:v>0</x:v>
      </x:c>
      <x:c r="I310" s="7" t="n">
        <x:v>0</x:v>
      </x:c>
      <x:c r="J310" s="7" t="n">
        <x:v>0</x:v>
      </x:c>
      <x:c r="K310" s="7" t="n">
        <x:v>0</x:v>
      </x:c>
      <x:c r="L310" s="26" t="n">
        <x:f>F310*'Service inputs'!B66*'Service inputs'!C66</x:f>
        <x:v>78</x:v>
      </x:c>
      <x:c r="M310" s="26" t="n">
        <x:f>F310*E310*'Service inputs'!D66</x:f>
        <x:v>0.10354571395</x:v>
      </x:c>
      <x:c r="N310" s="26" t="n">
        <x:f>F310*E310*'Service inputs'!E66</x:f>
        <x:v>0</x:v>
      </x:c>
      <x:c r="O310" s="26" t="n">
        <x:f>F310*E310*'Service inputs'!F66</x:f>
        <x:v>20.5020513621</x:v>
      </x:c>
      <x:c r="P310" s="26" t="n">
        <x:f>L310+F310*G310*'Service inputs'!$B$17*'Service inputs'!$B$18*'Service inputs'!$B$19+M310*('Service inputs'!$B$20*'Service inputs'!$B$21+'Service inputs'!$B$22)+N310*'Service inputs'!$B$23+F310*(H310*'Service inputs'!$B$28*'Service inputs'!$B$29+I310*'Service inputs'!$B$24*'Service inputs'!$B$25+J310*'Service inputs'!$B$26*'Service inputs'!$B$27+K310*'Service inputs'!$B$30*'Service inputs'!$B$31)</x:f>
        <x:v>80.38155142085</x:v>
      </x:c>
      <x:c r="Q310" s="26" t="n">
        <x:f>O310/SUM($O$5:$O$320)*SUMIF(Workload!$A$5:$A$40,"Ecology",Workload!$G$5:$G$40)</x:f>
        <x:v>215.22456398927852</x:v>
      </x:c>
      <x:c r="R310" s="27" t="n">
        <x:f>P310/SUMIF(Workload!$A$5:$A$40,"Grounds",Workload!$G$5:$G$40)*Staffing!$J$5+Q310/SUMIF(Workload!$A$5:$A$40,"Ecology",Workload!$G$5:$G$40)*Staffing!$J$7</x:f>
        <x:v>33078.27241947567</x:v>
      </x:c>
      <x:c r="S310" s="7" t="n">
        <x:v>2</x:v>
      </x:c>
      <x:c r="T310" s="23" t="n">
        <x:v>0.5</x:v>
      </x:c>
      <x:c r="U310" s="7" t="n">
        <x:v>0</x:v>
      </x:c>
      <x:c r="V310" s="7" t="n">
        <x:v>0</x:v>
      </x:c>
      <x:c r="W310" s="7" t="str">
        <x:v>https://parks.portlandciviclab.org/parks/wilkes-headwaters-property-1414</x:v>
      </x:c>
    </x:row>
    <x:row r="311" ht="23" customHeight="1">
      <x:c r="A311" s="8" t="str">
        <x:v>857</x:v>
      </x:c>
      <x:c r="B311" s="8" t="str">
        <x:v>Wilkes Park</x:v>
      </x:c>
      <x:c r="C311" s="8" t="str">
        <x:v>developed-park</x:v>
      </x:c>
      <x:c r="D311" s="8" t="str">
        <x:v>District 1</x:v>
      </x:c>
      <x:c r="E311" s="18" t="n">
        <x:v>1.88356832</x:v>
      </x:c>
      <x:c r="F311" s="8" t="n">
        <x:v>1</x:v>
      </x:c>
      <x:c r="G311" s="8" t="n">
        <x:v>1</x:v>
      </x:c>
      <x:c r="H311" s="8" t="n">
        <x:v>1</x:v>
      </x:c>
      <x:c r="I311" s="8" t="n">
        <x:v>0</x:v>
      </x:c>
      <x:c r="J311" s="8" t="n">
        <x:v>1</x:v>
      </x:c>
      <x:c r="K311" s="8" t="n">
        <x:v>0</x:v>
      </x:c>
      <x:c r="L311" s="24" t="n">
        <x:f>F311*'Service inputs'!B65*'Service inputs'!C65</x:f>
        <x:v>547.5</x:v>
      </x:c>
      <x:c r="M311" s="24" t="n">
        <x:f>F311*E311*'Service inputs'!D65</x:f>
        <x:v>1.035962576</x:v>
      </x:c>
      <x:c r="N311" s="24" t="n">
        <x:f>F311*E311*'Service inputs'!E65</x:f>
        <x:v>0.094178416</x:v>
      </x:c>
      <x:c r="O311" s="24" t="n">
        <x:f>F311*E311*'Service inputs'!F65</x:f>
        <x:v>0.47089208</x:v>
      </x:c>
      <x:c r="P311" s="24" t="n">
        <x:f>L311+F311*G311*'Service inputs'!$B$17*'Service inputs'!$B$18*'Service inputs'!$B$19+M311*('Service inputs'!$B$20*'Service inputs'!$B$21+'Service inputs'!$B$22)+N311*'Service inputs'!$B$23+F311*(H311*'Service inputs'!$B$28*'Service inputs'!$B$29+I311*'Service inputs'!$B$24*'Service inputs'!$B$25+J311*'Service inputs'!$B$26*'Service inputs'!$B$27+K311*'Service inputs'!$B$30*'Service inputs'!$B$31)</x:f>
        <x:v>961.378549168</x:v>
      </x:c>
      <x:c r="Q311" s="24" t="n">
        <x:f>O311/SUM($O$5:$O$320)*SUMIF(Workload!$A$5:$A$40,"Ecology",Workload!$G$5:$G$40)</x:f>
        <x:v>4.943287908806778</x:v>
      </x:c>
      <x:c r="R311" s="25" t="n">
        <x:f>P311/SUMIF(Workload!$A$5:$A$40,"Grounds",Workload!$G$5:$G$40)*Staffing!$J$5+Q311/SUMIF(Workload!$A$5:$A$40,"Ecology",Workload!$G$5:$G$40)*Staffing!$J$7</x:f>
        <x:v>98280.71658717463</x:v>
      </x:c>
      <x:c r="S311" s="8" t="n">
        <x:v>38</x:v>
      </x:c>
      <x:c r="T311" s="22" t="n">
        <x:v>0.15789473684210525</x:v>
      </x:c>
      <x:c r="U311" s="8" t="n">
        <x:v>1</x:v>
      </x:c>
      <x:c r="V311" s="8" t="n">
        <x:v>0</x:v>
      </x:c>
      <x:c r="W311" s="8" t="str">
        <x:v>https://parks.portlandciviclab.org/parks/wilkes-park-857</x:v>
      </x:c>
    </x:row>
    <x:row r="312" ht="23" customHeight="1">
      <x:c r="A312" s="7" t="str">
        <x:v>921</x:v>
      </x:c>
      <x:c r="B312" s="7" t="str">
        <x:v>Willamette Moorage</x:v>
      </x:c>
      <x:c r="C312" s="7" t="str">
        <x:v>developed-park</x:v>
      </x:c>
      <x:c r="D312" s="7" t="str">
        <x:v>District 4</x:v>
      </x:c>
      <x:c r="E312" s="19" t="n">
        <x:v>17.2427901</x:v>
      </x:c>
      <x:c r="F312" s="7" t="n">
        <x:v>1</x:v>
      </x:c>
      <x:c r="G312" s="7" t="n">
        <x:v>0</x:v>
      </x:c>
      <x:c r="H312" s="7" t="n">
        <x:v>0</x:v>
      </x:c>
      <x:c r="I312" s="7" t="n">
        <x:v>0</x:v>
      </x:c>
      <x:c r="J312" s="7" t="n">
        <x:v>0</x:v>
      </x:c>
      <x:c r="K312" s="7" t="n">
        <x:v>0</x:v>
      </x:c>
      <x:c r="L312" s="26" t="n">
        <x:f>F312*'Service inputs'!B65*'Service inputs'!C65</x:f>
        <x:v>547.5</x:v>
      </x:c>
      <x:c r="M312" s="26" t="n">
        <x:f>F312*E312*'Service inputs'!D65</x:f>
        <x:v>9.483534555</x:v>
      </x:c>
      <x:c r="N312" s="26" t="n">
        <x:f>F312*E312*'Service inputs'!E65</x:f>
        <x:v>0.862139505</x:v>
      </x:c>
      <x:c r="O312" s="26" t="n">
        <x:f>F312*E312*'Service inputs'!F65</x:f>
        <x:v>4.310697525</x:v>
      </x:c>
      <x:c r="P312" s="26" t="n">
        <x:f>L312+F312*G312*'Service inputs'!$B$17*'Service inputs'!$B$18*'Service inputs'!$B$19+M312*('Service inputs'!$B$20*'Service inputs'!$B$21+'Service inputs'!$B$22)+N312*'Service inputs'!$B$23+F312*(H312*'Service inputs'!$B$28*'Service inputs'!$B$29+I312*'Service inputs'!$B$24*'Service inputs'!$B$25+J312*'Service inputs'!$B$26*'Service inputs'!$B$27+K312*'Service inputs'!$B$30*'Service inputs'!$B$31)</x:f>
        <x:v>869.078035365</x:v>
      </x:c>
      <x:c r="Q312" s="26" t="n">
        <x:f>O312/SUM($O$5:$O$320)*SUMIF(Workload!$A$5:$A$40,"Ecology",Workload!$G$5:$G$40)</x:f>
        <x:v>45.25244712940554</x:v>
      </x:c>
      <x:c r="R312" s="27" t="n">
        <x:f>P312/SUMIF(Workload!$A$5:$A$40,"Grounds",Workload!$G$5:$G$40)*Staffing!$J$5+Q312/SUMIF(Workload!$A$5:$A$40,"Ecology",Workload!$G$5:$G$40)*Staffing!$J$7</x:f>
        <x:v>93564.99685801727</x:v>
      </x:c>
      <x:c r="S312" s="7" t="n">
        <x:v>0</x:v>
      </x:c>
      <x:c r="T312" s="23" t="n">
        <x:v>0</x:v>
      </x:c>
      <x:c r="U312" s="7" t="n">
        <x:v>0</x:v>
      </x:c>
      <x:c r="V312" s="7" t="n">
        <x:v>0</x:v>
      </x:c>
      <x:c r="W312" s="7" t="str">
        <x:v>https://parks.portlandciviclab.org/parks/willamette-moorage-921</x:v>
      </x:c>
    </x:row>
    <x:row r="313" ht="23" customHeight="1">
      <x:c r="A313" s="8" t="str">
        <x:v>861</x:v>
      </x:c>
      <x:c r="B313" s="8" t="str">
        <x:v>Willamette Park</x:v>
      </x:c>
      <x:c r="C313" s="8" t="str">
        <x:v>developed-park</x:v>
      </x:c>
      <x:c r="D313" s="8" t="str">
        <x:v>District 4</x:v>
      </x:c>
      <x:c r="E313" s="18" t="n">
        <x:v>26.25910982</x:v>
      </x:c>
      <x:c r="F313" s="8" t="n">
        <x:v>1</x:v>
      </x:c>
      <x:c r="G313" s="8" t="n">
        <x:v>3</x:v>
      </x:c>
      <x:c r="H313" s="8" t="n">
        <x:v>1</x:v>
      </x:c>
      <x:c r="I313" s="8" t="n">
        <x:v>2</x:v>
      </x:c>
      <x:c r="J313" s="8" t="n">
        <x:v>4</x:v>
      </x:c>
      <x:c r="K313" s="8" t="n">
        <x:v>0</x:v>
      </x:c>
      <x:c r="L313" s="24" t="n">
        <x:f>F313*'Service inputs'!B65*'Service inputs'!C65</x:f>
        <x:v>547.5</x:v>
      </x:c>
      <x:c r="M313" s="24" t="n">
        <x:f>F313*E313*'Service inputs'!D65</x:f>
        <x:v>14.442510401</x:v>
      </x:c>
      <x:c r="N313" s="24" t="n">
        <x:f>F313*E313*'Service inputs'!E65</x:f>
        <x:v>1.312955491</x:v>
      </x:c>
      <x:c r="O313" s="24" t="n">
        <x:f>F313*E313*'Service inputs'!F65</x:f>
        <x:v>6.564777455</x:v>
      </x:c>
      <x:c r="P313" s="24" t="n">
        <x:f>L313+F313*G313*'Service inputs'!$B$17*'Service inputs'!$B$18*'Service inputs'!$B$19+M313*('Service inputs'!$B$20*'Service inputs'!$B$21+'Service inputs'!$B$22)+N313*'Service inputs'!$B$23+F313*(H313*'Service inputs'!$B$28*'Service inputs'!$B$29+I313*'Service inputs'!$B$24*'Service inputs'!$B$25+J313*'Service inputs'!$B$26*'Service inputs'!$B$27+K313*'Service inputs'!$B$30*'Service inputs'!$B$31)</x:f>
        <x:v>2323.482398143</x:v>
      </x:c>
      <x:c r="Q313" s="24" t="n">
        <x:f>O313/SUM($O$5:$O$320)*SUMIF(Workload!$A$5:$A$40,"Ecology",Workload!$G$5:$G$40)</x:f>
        <x:v>68.91512173513054</x:v>
      </x:c>
      <x:c r="R313" s="25" t="n">
        <x:f>P313/SUMIF(Workload!$A$5:$A$40,"Grounds",Workload!$G$5:$G$40)*Staffing!$J$5+Q313/SUMIF(Workload!$A$5:$A$40,"Ecology",Workload!$G$5:$G$40)*Staffing!$J$7</x:f>
        <x:v>244120.29695853774</x:v>
      </x:c>
      <x:c r="S313" s="8" t="n">
        <x:v>84</x:v>
      </x:c>
      <x:c r="T313" s="22" t="n">
        <x:v>0.10714285714285714</x:v>
      </x:c>
      <x:c r="U313" s="8" t="n">
        <x:v>1</x:v>
      </x:c>
      <x:c r="V313" s="8" t="n">
        <x:v>0</x:v>
      </x:c>
      <x:c r="W313" s="8" t="str">
        <x:v>https://parks.portlandciviclab.org/parks/willamette-park-861</x:v>
      </x:c>
    </x:row>
    <x:row r="314" ht="23" customHeight="1">
      <x:c r="A314" s="7" t="str">
        <x:v>862</x:v>
      </x:c>
      <x:c r="B314" s="7" t="str">
        <x:v>Wilshire Park</x:v>
      </x:c>
      <x:c r="C314" s="7" t="str">
        <x:v>developed-park</x:v>
      </x:c>
      <x:c r="D314" s="7" t="str">
        <x:v>District 2</x:v>
      </x:c>
      <x:c r="E314" s="19" t="n">
        <x:v>14.29984545</x:v>
      </x:c>
      <x:c r="F314" s="7" t="n">
        <x:v>1</x:v>
      </x:c>
      <x:c r="G314" s="7" t="n">
        <x:v>1</x:v>
      </x:c>
      <x:c r="H314" s="7" t="n">
        <x:v>1</x:v>
      </x:c>
      <x:c r="I314" s="7" t="n">
        <x:v>3</x:v>
      </x:c>
      <x:c r="J314" s="7" t="n">
        <x:v>1</x:v>
      </x:c>
      <x:c r="K314" s="7" t="n">
        <x:v>0</x:v>
      </x:c>
      <x:c r="L314" s="26" t="n">
        <x:f>F314*'Service inputs'!B65*'Service inputs'!C65</x:f>
        <x:v>547.5</x:v>
      </x:c>
      <x:c r="M314" s="26" t="n">
        <x:f>F314*E314*'Service inputs'!D65</x:f>
        <x:v>7.864914997500001</x:v>
      </x:c>
      <x:c r="N314" s="26" t="n">
        <x:f>F314*E314*'Service inputs'!E65</x:f>
        <x:v>0.7149922725</x:v>
      </x:c>
      <x:c r="O314" s="26" t="n">
        <x:f>F314*E314*'Service inputs'!F65</x:f>
        <x:v>3.5749613625</x:v>
      </x:c>
      <x:c r="P314" s="26" t="n">
        <x:f>L314+F314*G314*'Service inputs'!$B$17*'Service inputs'!$B$18*'Service inputs'!$B$19+M314*('Service inputs'!$B$20*'Service inputs'!$B$21+'Service inputs'!$B$22)+N314*'Service inputs'!$B$23+F314*(H314*'Service inputs'!$B$28*'Service inputs'!$B$29+I314*'Service inputs'!$B$24*'Service inputs'!$B$25+J314*'Service inputs'!$B$26*'Service inputs'!$B$27+K314*'Service inputs'!$B$30*'Service inputs'!$B$31)</x:f>
        <x:v>1507.9421176424999</x:v>
      </x:c>
      <x:c r="Q314" s="26" t="n">
        <x:f>O314/SUM($O$5:$O$320)*SUMIF(Workload!$A$5:$A$40,"Ecology",Workload!$G$5:$G$40)</x:f>
        <x:v>37.528903178192444</x:v>
      </x:c>
      <x:c r="R314" s="27" t="n">
        <x:f>P314/SUMIF(Workload!$A$5:$A$40,"Grounds",Workload!$G$5:$G$40)*Staffing!$J$5+Q314/SUMIF(Workload!$A$5:$A$40,"Ecology",Workload!$G$5:$G$40)*Staffing!$J$7</x:f>
        <x:v>157601.34181664535</x:v>
      </x:c>
      <x:c r="S314" s="7" t="n">
        <x:v>130</x:v>
      </x:c>
      <x:c r="T314" s="23" t="n">
        <x:v>0.19230769230769232</x:v>
      </x:c>
      <x:c r="U314" s="7" t="n">
        <x:v>5</x:v>
      </x:c>
      <x:c r="V314" s="7" t="n">
        <x:v>1</x:v>
      </x:c>
      <x:c r="W314" s="7" t="str">
        <x:v>https://parks.portlandciviclab.org/parks/wilshire-park-862</x:v>
      </x:c>
    </x:row>
    <x:row r="315" ht="23" customHeight="1">
      <x:c r="A315" s="8" t="str">
        <x:v>864</x:v>
      </x:c>
      <x:c r="B315" s="8" t="str">
        <x:v>Woodlawn Community Garden</x:v>
      </x:c>
      <x:c r="C315" s="8" t="str">
        <x:v>community-garden</x:v>
      </x:c>
      <x:c r="D315" s="8" t="str">
        <x:v>District 2</x:v>
      </x:c>
      <x:c r="E315" s="18" t="n">
        <x:v>0.41940226</x:v>
      </x:c>
      <x:c r="F315" s="8" t="n">
        <x:v>1</x:v>
      </x:c>
      <x:c r="G315" s="8" t="n">
        <x:v>0</x:v>
      </x:c>
      <x:c r="H315" s="8" t="n">
        <x:v>0</x:v>
      </x:c>
      <x:c r="I315" s="8" t="n">
        <x:v>0</x:v>
      </x:c>
      <x:c r="J315" s="8" t="n">
        <x:v>0</x:v>
      </x:c>
      <x:c r="K315" s="8" t="n">
        <x:v>0</x:v>
      </x:c>
      <x:c r="L315" s="24" t="n">
        <x:f>F315*'Service inputs'!B67*'Service inputs'!C67</x:f>
        <x:v>52</x:v>
      </x:c>
      <x:c r="M315" s="24" t="n">
        <x:f>F315*E315*'Service inputs'!D67</x:f>
        <x:v>0.020970113000000002</x:v>
      </x:c>
      <x:c r="N315" s="24" t="n">
        <x:f>F315*E315*'Service inputs'!E67</x:f>
        <x:v>0.041940226000000004</x:v>
      </x:c>
      <x:c r="O315" s="24" t="n">
        <x:f>F315*E315*'Service inputs'!F67</x:f>
        <x:v>0</x:v>
      </x:c>
      <x:c r="P315" s="24" t="n">
        <x:f>L315+F315*G315*'Service inputs'!$B$17*'Service inputs'!$B$18*'Service inputs'!$B$19+M315*('Service inputs'!$B$20*'Service inputs'!$B$21+'Service inputs'!$B$22)+N315*'Service inputs'!$B$23+F315*(H315*'Service inputs'!$B$28*'Service inputs'!$B$29+I315*'Service inputs'!$B$24*'Service inputs'!$B$25+J315*'Service inputs'!$B$26*'Service inputs'!$B$27+K315*'Service inputs'!$B$30*'Service inputs'!$B$31)</x:f>
        <x:v>57.515139719</x:v>
      </x:c>
      <x:c r="Q315" s="24" t="n">
        <x:f>O315/SUM($O$5:$O$320)*SUMIF(Workload!$A$5:$A$40,"Ecology",Workload!$G$5:$G$40)</x:f>
        <x:v>0</x:v>
      </x:c>
      <x:c r="R315" s="25" t="n">
        <x:f>P315/SUMIF(Workload!$A$5:$A$40,"Grounds",Workload!$G$5:$G$40)*Staffing!$J$5+Q315/SUMIF(Workload!$A$5:$A$40,"Ecology",Workload!$G$5:$G$40)*Staffing!$J$7</x:f>
        <x:v>5845.4855122347635</x:v>
      </x:c>
      <x:c r="S315" s="8" t="n">
        <x:v>14</x:v>
      </x:c>
      <x:c r="T315" s="22" t="n">
        <x:v>0.21428571428571427</x:v>
      </x:c>
      <x:c r="U315" s="8" t="n">
        <x:v>0</x:v>
      </x:c>
      <x:c r="V315" s="8" t="n">
        <x:v>1</x:v>
      </x:c>
      <x:c r="W315" s="8" t="str">
        <x:v>https://parks.portlandciviclab.org/parks/woodlawn-community-garden-864</x:v>
      </x:c>
    </x:row>
    <x:row r="316" ht="23" customHeight="1">
      <x:c r="A316" s="7" t="str">
        <x:v>865</x:v>
      </x:c>
      <x:c r="B316" s="7" t="str">
        <x:v>Woodlawn Park</x:v>
      </x:c>
      <x:c r="C316" s="7" t="str">
        <x:v>developed-park</x:v>
      </x:c>
      <x:c r="D316" s="7" t="str">
        <x:v>District 2</x:v>
      </x:c>
      <x:c r="E316" s="19" t="n">
        <x:v>8.22777088</x:v>
      </x:c>
      <x:c r="F316" s="7" t="n">
        <x:v>1</x:v>
      </x:c>
      <x:c r="G316" s="7" t="n">
        <x:v>1</x:v>
      </x:c>
      <x:c r="H316" s="7" t="n">
        <x:v>1</x:v>
      </x:c>
      <x:c r="I316" s="7" t="n">
        <x:v>2</x:v>
      </x:c>
      <x:c r="J316" s="7" t="n">
        <x:v>3</x:v>
      </x:c>
      <x:c r="K316" s="7" t="n">
        <x:v>1</x:v>
      </x:c>
      <x:c r="L316" s="26" t="n">
        <x:f>F316*'Service inputs'!B65*'Service inputs'!C65</x:f>
        <x:v>547.5</x:v>
      </x:c>
      <x:c r="M316" s="26" t="n">
        <x:f>F316*E316*'Service inputs'!D65</x:f>
        <x:v>4.525273984</x:v>
      </x:c>
      <x:c r="N316" s="26" t="n">
        <x:f>F316*E316*'Service inputs'!E65</x:f>
        <x:v>0.411388544</x:v>
      </x:c>
      <x:c r="O316" s="26" t="n">
        <x:f>F316*E316*'Service inputs'!F65</x:f>
        <x:v>2.05694272</x:v>
      </x:c>
      <x:c r="P316" s="26" t="n">
        <x:f>L316+F316*G316*'Service inputs'!$B$17*'Service inputs'!$B$18*'Service inputs'!$B$19+M316*('Service inputs'!$B$20*'Service inputs'!$B$21+'Service inputs'!$B$22)+N316*'Service inputs'!$B$23+F316*(H316*'Service inputs'!$B$28*'Service inputs'!$B$29+I316*'Service inputs'!$B$24*'Service inputs'!$B$25+J316*'Service inputs'!$B$26*'Service inputs'!$B$27+K316*'Service inputs'!$B$30*'Service inputs'!$B$31)</x:f>
        <x:v>1373.697926912</x:v>
      </x:c>
      <x:c r="Q316" s="26" t="n">
        <x:f>O316/SUM($O$5:$O$320)*SUMIF(Workload!$A$5:$A$40,"Ecology",Workload!$G$5:$G$40)</x:f>
        <x:v>21.59318559123807</x:v>
      </x:c>
      <x:c r="R316" s="27" t="n">
        <x:f>P316/SUMIF(Workload!$A$5:$A$40,"Grounds",Workload!$G$5:$G$40)*Staffing!$J$5+Q316/SUMIF(Workload!$A$5:$A$40,"Ecology",Workload!$G$5:$G$40)*Staffing!$J$7</x:f>
        <x:v>142113.28359821936</x:v>
      </x:c>
      <x:c r="S316" s="7" t="n">
        <x:v>120</x:v>
      </x:c>
      <x:c r="T316" s="23" t="n">
        <x:v>0.475</x:v>
      </x:c>
      <x:c r="U316" s="7" t="n">
        <x:v>9</x:v>
      </x:c>
      <x:c r="V316" s="7" t="n">
        <x:v>0</x:v>
      </x:c>
      <x:c r="W316" s="7" t="str">
        <x:v>https://parks.portlandciviclab.org/parks/woodlawn-park-865</x:v>
      </x:c>
    </x:row>
    <x:row r="317" ht="23" customHeight="1">
      <x:c r="A317" s="8" t="str">
        <x:v>866</x:v>
      </x:c>
      <x:c r="B317" s="8" t="str">
        <x:v>Woods Memorial Natural Area</x:v>
      </x:c>
      <x:c r="C317" s="8" t="str">
        <x:v>natural-area</x:v>
      </x:c>
      <x:c r="D317" s="8" t="str">
        <x:v>District 4</x:v>
      </x:c>
      <x:c r="E317" s="18" t="n">
        <x:v>45.97955307</x:v>
      </x:c>
      <x:c r="F317" s="8" t="n">
        <x:v>1</x:v>
      </x:c>
      <x:c r="G317" s="8" t="n">
        <x:v>0</x:v>
      </x:c>
      <x:c r="H317" s="8" t="n">
        <x:v>0</x:v>
      </x:c>
      <x:c r="I317" s="8" t="n">
        <x:v>0</x:v>
      </x:c>
      <x:c r="J317" s="8" t="n">
        <x:v>0</x:v>
      </x:c>
      <x:c r="K317" s="8" t="n">
        <x:v>0</x:v>
      </x:c>
      <x:c r="L317" s="24" t="n">
        <x:f>F317*'Service inputs'!B66*'Service inputs'!C66</x:f>
        <x:v>78</x:v>
      </x:c>
      <x:c r="M317" s="24" t="n">
        <x:f>F317*E317*'Service inputs'!D66</x:f>
        <x:v>0.22989776535</x:v>
      </x:c>
      <x:c r="N317" s="24" t="n">
        <x:f>F317*E317*'Service inputs'!E66</x:f>
        <x:v>0</x:v>
      </x:c>
      <x:c r="O317" s="24" t="n">
        <x:f>F317*E317*'Service inputs'!F66</x:f>
        <x:v>45.5197575393</x:v>
      </x:c>
      <x:c r="P317" s="24" t="n">
        <x:f>L317+F317*G317*'Service inputs'!$B$17*'Service inputs'!$B$18*'Service inputs'!$B$19+M317*('Service inputs'!$B$20*'Service inputs'!$B$21+'Service inputs'!$B$22)+N317*'Service inputs'!$B$23+F317*(H317*'Service inputs'!$B$28*'Service inputs'!$B$29+I317*'Service inputs'!$B$24*'Service inputs'!$B$25+J317*'Service inputs'!$B$26*'Service inputs'!$B$27+K317*'Service inputs'!$B$30*'Service inputs'!$B$31)</x:f>
        <x:v>83.28764860305</x:v>
      </x:c>
      <x:c r="Q317" s="24" t="n">
        <x:f>O317/SUM($O$5:$O$320)*SUMIF(Workload!$A$5:$A$40,"Ecology",Workload!$G$5:$G$40)</x:f>
        <x:v>477.8531570457457</x:v>
      </x:c>
      <x:c r="R317" s="25" t="n">
        <x:f>P317/SUMIF(Workload!$A$5:$A$40,"Grounds",Workload!$G$5:$G$40)*Staffing!$J$5+Q317/SUMIF(Workload!$A$5:$A$40,"Ecology",Workload!$G$5:$G$40)*Staffing!$J$7</x:f>
        <x:v>63768.670292284696</x:v>
      </x:c>
      <x:c r="S317" s="8" t="n">
        <x:v>0</x:v>
      </x:c>
      <x:c r="T317" s="22" t="n">
        <x:v>0</x:v>
      </x:c>
      <x:c r="U317" s="8" t="n">
        <x:v>0</x:v>
      </x:c>
      <x:c r="V317" s="8" t="n">
        <x:v>0</x:v>
      </x:c>
      <x:c r="W317" s="8" t="str">
        <x:v>https://parks.portlandciviclab.org/parks/woods-memorial-natural-area-866</x:v>
      </x:c>
    </x:row>
    <x:row r="318" ht="23" customHeight="1">
      <x:c r="A318" s="7" t="str">
        <x:v>867</x:v>
      </x:c>
      <x:c r="B318" s="7" t="str">
        <x:v>Woodstock Community Center</x:v>
      </x:c>
      <x:c r="C318" s="7" t="str">
        <x:v>facility-site</x:v>
      </x:c>
      <x:c r="D318" s="7" t="str">
        <x:v>District 3</x:v>
      </x:c>
      <x:c r="E318" s="19" t="n">
        <x:v>0.11481734</x:v>
      </x:c>
      <x:c r="F318" s="7" t="n">
        <x:v>1</x:v>
      </x:c>
      <x:c r="G318" s="7" t="n">
        <x:v>0</x:v>
      </x:c>
      <x:c r="H318" s="7" t="n">
        <x:v>0</x:v>
      </x:c>
      <x:c r="I318" s="7" t="n">
        <x:v>0</x:v>
      </x:c>
      <x:c r="J318" s="7" t="n">
        <x:v>0</x:v>
      </x:c>
      <x:c r="K318" s="7" t="n">
        <x:v>0</x:v>
      </x:c>
      <x:c r="L318" s="26" t="n">
        <x:f>F318*'Service inputs'!B69*'Service inputs'!C69</x:f>
        <x:v>260</x:v>
      </x:c>
      <x:c r="M318" s="26" t="n">
        <x:f>F318*E318*'Service inputs'!D69</x:f>
        <x:v>0.011481734</x:v>
      </x:c>
      <x:c r="N318" s="26" t="n">
        <x:f>F318*E318*'Service inputs'!E69</x:f>
        <x:v>0.011481734</x:v>
      </x:c>
      <x:c r="O318" s="26" t="n">
        <x:f>F318*E318*'Service inputs'!F69</x:f>
        <x:v>0</x:v>
      </x:c>
      <x:c r="P318" s="26" t="n">
        <x:f>L318+F318*G318*'Service inputs'!$B$17*'Service inputs'!$B$18*'Service inputs'!$B$19+M318*('Service inputs'!$B$20*'Service inputs'!$B$21+'Service inputs'!$B$22)+N318*'Service inputs'!$B$23+F318*(H318*'Service inputs'!$B$28*'Service inputs'!$B$29+I318*'Service inputs'!$B$24*'Service inputs'!$B$25+J318*'Service inputs'!$B$26*'Service inputs'!$B$27+K318*'Service inputs'!$B$30*'Service inputs'!$B$31)</x:f>
        <x:v>261.641887962</x:v>
      </x:c>
      <x:c r="Q318" s="26" t="n">
        <x:f>O318/SUM($O$5:$O$320)*SUMIF(Workload!$A$5:$A$40,"Ecology",Workload!$G$5:$G$40)</x:f>
        <x:v>0</x:v>
      </x:c>
      <x:c r="R318" s="27" t="n">
        <x:f>P318/SUMIF(Workload!$A$5:$A$40,"Grounds",Workload!$G$5:$G$40)*Staffing!$J$5+Q318/SUMIF(Workload!$A$5:$A$40,"Ecology",Workload!$G$5:$G$40)*Staffing!$J$7</x:f>
        <x:v>26591.674347795775</x:v>
      </x:c>
      <x:c r="S318" s="7" t="n">
        <x:v>2</x:v>
      </x:c>
      <x:c r="T318" s="23" t="n">
        <x:v>1</x:v>
      </x:c>
      <x:c r="U318" s="7" t="n">
        <x:v>0</x:v>
      </x:c>
      <x:c r="V318" s="7" t="n">
        <x:v>1</x:v>
      </x:c>
      <x:c r="W318" s="7" t="str">
        <x:v>https://parks.portlandciviclab.org/parks/woodstock-community-center-867</x:v>
      </x:c>
    </x:row>
    <x:row r="319" ht="23" customHeight="1">
      <x:c r="A319" s="8" t="str">
        <x:v>868</x:v>
      </x:c>
      <x:c r="B319" s="8" t="str">
        <x:v>Woodstock Park</x:v>
      </x:c>
      <x:c r="C319" s="8" t="str">
        <x:v>developed-park</x:v>
      </x:c>
      <x:c r="D319" s="8" t="str">
        <x:v>District 3</x:v>
      </x:c>
      <x:c r="E319" s="18" t="n">
        <x:v>14.10659362</x:v>
      </x:c>
      <x:c r="F319" s="8" t="n">
        <x:v>1</x:v>
      </x:c>
      <x:c r="G319" s="8" t="n">
        <x:v>2</x:v>
      </x:c>
      <x:c r="H319" s="8" t="n">
        <x:v>1</x:v>
      </x:c>
      <x:c r="I319" s="8" t="n">
        <x:v>3</x:v>
      </x:c>
      <x:c r="J319" s="8" t="n">
        <x:v>2</x:v>
      </x:c>
      <x:c r="K319" s="8" t="n">
        <x:v>0</x:v>
      </x:c>
      <x:c r="L319" s="24" t="n">
        <x:f>F319*'Service inputs'!B65*'Service inputs'!C65</x:f>
        <x:v>547.5</x:v>
      </x:c>
      <x:c r="M319" s="24" t="n">
        <x:f>F319*E319*'Service inputs'!D65</x:f>
        <x:v>7.758626491</x:v>
      </x:c>
      <x:c r="N319" s="24" t="n">
        <x:f>F319*E319*'Service inputs'!E65</x:f>
        <x:v>0.705329681</x:v>
      </x:c>
      <x:c r="O319" s="24" t="n">
        <x:f>F319*E319*'Service inputs'!F65</x:f>
        <x:v>3.526648405</x:v>
      </x:c>
      <x:c r="P319" s="24" t="n">
        <x:f>L319+F319*G319*'Service inputs'!$B$17*'Service inputs'!$B$18*'Service inputs'!$B$19+M319*('Service inputs'!$B$20*'Service inputs'!$B$21+'Service inputs'!$B$22)+N319*'Service inputs'!$B$23+F319*(H319*'Service inputs'!$B$28*'Service inputs'!$B$29+I319*'Service inputs'!$B$24*'Service inputs'!$B$25+J319*'Service inputs'!$B$26*'Service inputs'!$B$27+K319*'Service inputs'!$B$30*'Service inputs'!$B$31)</x:f>
        <x:v>1844.087971013</x:v>
      </x:c>
      <x:c r="Q319" s="24" t="n">
        <x:f>O319/SUM($O$5:$O$320)*SUMIF(Workload!$A$5:$A$40,"Ecology",Workload!$G$5:$G$40)</x:f>
        <x:v>37.02172782147707</x:v>
      </x:c>
      <x:c r="R319" s="25" t="n">
        <x:f>P319/SUMIF(Workload!$A$5:$A$40,"Grounds",Workload!$G$5:$G$40)*Staffing!$J$5+Q319/SUMIF(Workload!$A$5:$A$40,"Ecology",Workload!$G$5:$G$40)*Staffing!$J$7</x:f>
        <x:v>191706.4441665077</x:v>
      </x:c>
      <x:c r="S319" s="8" t="n">
        <x:v>114</x:v>
      </x:c>
      <x:c r="T319" s="22" t="n">
        <x:v>0.16666666666666666</x:v>
      </x:c>
      <x:c r="U319" s="8" t="n">
        <x:v>3</x:v>
      </x:c>
      <x:c r="V319" s="8" t="n">
        <x:v>0</x:v>
      </x:c>
      <x:c r="W319" s="8" t="str">
        <x:v>https://parks.portlandciviclab.org/parks/woodstock-park-868</x:v>
      </x:c>
    </x:row>
    <x:row r="320" ht="23" customHeight="1">
      <x:c r="A320" s="7" t="str">
        <x:v>922</x:v>
      </x:c>
      <x:c r="B320" s="7" t="str">
        <x:v>Wright Island</x:v>
      </x:c>
      <x:c r="C320" s="7" t="str">
        <x:v>natural-area</x:v>
      </x:c>
      <x:c r="D320" s="7" t="str">
        <x:v>District 2</x:v>
      </x:c>
      <x:c r="E320" s="19" t="n">
        <x:v>4.34897507</x:v>
      </x:c>
      <x:c r="F320" s="7" t="n">
        <x:v>1</x:v>
      </x:c>
      <x:c r="G320" s="7" t="n">
        <x:v>0</x:v>
      </x:c>
      <x:c r="H320" s="7" t="n">
        <x:v>0</x:v>
      </x:c>
      <x:c r="I320" s="7" t="n">
        <x:v>0</x:v>
      </x:c>
      <x:c r="J320" s="7" t="n">
        <x:v>0</x:v>
      </x:c>
      <x:c r="K320" s="7" t="n">
        <x:v>0</x:v>
      </x:c>
      <x:c r="L320" s="26" t="n">
        <x:f>F320*'Service inputs'!B66*'Service inputs'!C66</x:f>
        <x:v>78</x:v>
      </x:c>
      <x:c r="M320" s="26" t="n">
        <x:f>F320*E320*'Service inputs'!D66</x:f>
        <x:v>0.021744875349999998</x:v>
      </x:c>
      <x:c r="N320" s="26" t="n">
        <x:f>F320*E320*'Service inputs'!E66</x:f>
        <x:v>0</x:v>
      </x:c>
      <x:c r="O320" s="26" t="n">
        <x:f>F320*E320*'Service inputs'!F66</x:f>
        <x:v>4.3054853193</x:v>
      </x:c>
      <x:c r="P320" s="26" t="n">
        <x:f>L320+F320*G320*'Service inputs'!$B$17*'Service inputs'!$B$18*'Service inputs'!$B$19+M320*('Service inputs'!$B$20*'Service inputs'!$B$21+'Service inputs'!$B$22)+N320*'Service inputs'!$B$23+F320*(H320*'Service inputs'!$B$28*'Service inputs'!$B$29+I320*'Service inputs'!$B$24*'Service inputs'!$B$25+J320*'Service inputs'!$B$26*'Service inputs'!$B$27+K320*'Service inputs'!$B$30*'Service inputs'!$B$31)</x:f>
        <x:v>78.50013213305</x:v>
      </x:c>
      <x:c r="Q320" s="26" t="n">
        <x:f>O320/SUM($O$5:$O$320)*SUMIF(Workload!$A$5:$A$40,"Ecology",Workload!$G$5:$G$40)</x:f>
        <x:v>45.19773091201869</x:v>
      </x:c>
      <x:c r="R320" s="27" t="n">
        <x:f>P320/SUMIF(Workload!$A$5:$A$40,"Grounds",Workload!$G$5:$G$40)*Staffing!$J$5+Q320/SUMIF(Workload!$A$5:$A$40,"Ecology",Workload!$G$5:$G$40)*Staffing!$J$7</x:f>
        <x:v>13209.182403550252</x:v>
      </x:c>
      <x:c r="S320" s="7" t="n">
        <x:v>0</x:v>
      </x:c>
      <x:c r="T320" s="23" t="n">
        <x:v>0</x:v>
      </x:c>
      <x:c r="U320" s="7" t="n">
        <x:v>0</x:v>
      </x:c>
      <x:c r="V320" s="7" t="n">
        <x:v>0</x:v>
      </x:c>
      <x:c r="W320" s="7" t="str">
        <x:v>https://parks.portlandciviclab.org/parks/wright-island-922</x:v>
      </x:c>
    </x:row>
  </x:sheetData>
  <x:mergeCells>
    <x:mergeCell ref="A2:W2"/>
  </x:mergeCells>
  <x:pageMargins left="0.7" right="0.7" top="0.75" bottom="0.75" header="0.3" footer="0.3"/>
  <x:tableParts count="1">
    <x:tablePart xmlns:r="http://schemas.openxmlformats.org/officeDocument/2006/relationships" r:id="R031b1c98459344c5"/>
  </x:tableParts>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5" hidden="0" customWidth="1"/>
    <x:col min="2" max="2" width="40" hidden="0" customWidth="1"/>
    <x:col min="3" max="3" width="24" hidden="0" customWidth="1"/>
    <x:col min="4" max="4" width="18" hidden="0" customWidth="1"/>
    <x:col min="5" max="5" width="18" hidden="0" customWidth="1"/>
    <x:col min="6" max="6" width="20" hidden="0" customWidth="1"/>
    <x:col min="7" max="7" width="20" hidden="0" customWidth="1"/>
    <x:col min="8" max="8" width="16" hidden="0" customWidth="1"/>
    <x:col min="9" max="9" width="22" hidden="0" customWidth="1"/>
    <x:col min="10" max="10" width="100" hidden="0" customWidth="1"/>
  </x:cols>
  <x:sheetData>
    <x:row r="1" ht="32" customHeight="1">
      <x:c r="A1" s="1" t="str">
        <x:v>Workload</x:v>
      </x:c>
    </x:row>
    <x:row r="2" ht="42" customHeight="1">
      <x:c r="A2" s="3" t="str">
        <x:v>Workload = quantity × frequency × person-hours. Field FTE excludes supervisors, then adds them on Staffing. Unit times are planning assumptions, not measured productivity.</x:v>
      </x:c>
      <x:c r="B2" s="3"/>
      <x:c r="C2" s="3"/>
      <x:c r="D2" s="3"/>
      <x:c r="E2" s="3"/>
      <x:c r="F2" s="3"/>
      <x:c r="G2" s="3"/>
      <x:c r="H2" s="3"/>
      <x:c r="I2" s="3"/>
      <x:c r="J2" s="3"/>
    </x:row>
    <x:row r="4" ht="34" customHeight="1">
      <x:c r="A4" s="6" t="str">
        <x:v>Team</x:v>
      </x:c>
      <x:c r="B4" s="6" t="str">
        <x:v>Task</x:v>
      </x:c>
      <x:c r="C4" s="6" t="str">
        <x:v>Quantity unit</x:v>
      </x:c>
      <x:c r="D4" s="6" t="str">
        <x:v>Quantity</x:v>
      </x:c>
      <x:c r="E4" s="6" t="str">
        <x:v>Frequency / year</x:v>
      </x:c>
      <x:c r="F4" s="6" t="str">
        <x:v>Person-hours / event</x:v>
      </x:c>
      <x:c r="G4" s="6" t="str">
        <x:v>Annual task hours</x:v>
      </x:c>
      <x:c r="H4" s="6" t="str">
        <x:v>Career FTE</x:v>
      </x:c>
      <x:c r="I4" s="6" t="str">
        <x:v>Annualized seasonal FTE</x:v>
      </x:c>
      <x:c r="J4" s="6" t="str">
        <x:v>Basis</x:v>
      </x:c>
    </x:row>
    <x:row r="5" ht="34" customHeight="1">
      <x:c r="A5" s="8" t="str">
        <x:v>Grounds</x:v>
      </x:c>
      <x:c r="B5" s="8" t="str">
        <x:v>Routine rounds / litter / visual checks</x:v>
      </x:c>
      <x:c r="C5" s="8" t="str">
        <x:v>person-hour allowance</x:v>
      </x:c>
      <x:c r="D5" s="30" t="n">
        <x:f>SUM('Park model'!L5:L320)</x:f>
        <x:v>104956</x:v>
      </x:c>
      <x:c r="E5" s="30" t="n">
        <x:v>1</x:v>
      </x:c>
      <x:c r="F5" s="52" t="n">
        <x:v>1</x:v>
      </x:c>
      <x:c r="G5" s="18" t="n">
        <x:f>D5*E5*F5</x:f>
        <x:v>104956</x:v>
      </x:c>
      <x:c r="H5" s="24" t="n">
        <x:f>G5*'Service inputs'!$B$32/'Service inputs'!$B$5</x:f>
        <x:v>57.90675862068966</x:v>
      </x:c>
      <x:c r="I5" s="24" t="n">
        <x:f>G5*(1-'Service inputs'!$B$32)/'Service inputs'!$B$6</x:f>
        <x:v>13.119499999999999</x:v>
      </x:c>
      <x:c r="J5" s="11" t="str">
        <x:v>Property-class visits × person-hours. Includes public-facing checks, not restroom cleaning.</x:v>
      </x:c>
    </x:row>
    <x:row r="6" ht="34" customHeight="1">
      <x:c r="A6" s="7" t="str">
        <x:v>Grounds</x:v>
      </x:c>
      <x:c r="B6" s="7" t="str">
        <x:v>Restroom cleaning</x:v>
      </x:c>
      <x:c r="C6" s="7" t="str">
        <x:v>buildings</x:v>
      </x:c>
      <x:c r="D6" s="31" t="n">
        <x:f>SUMPRODUCT('Park model'!F5:F320,'Park model'!G5:G320)</x:f>
        <x:v>115</x:v>
      </x:c>
      <x:c r="E6" s="31" t="n">
        <x:f>'Service inputs'!$B$17*'Service inputs'!$B$18</x:f>
        <x:v>495</x:v>
      </x:c>
      <x:c r="F6" s="53" t="n">
        <x:f>'Service inputs'!$B$19</x:f>
        <x:v>0.65</x:v>
      </x:c>
      <x:c r="G6" s="19" t="n">
        <x:f>D6*E6*F6</x:f>
        <x:v>37001.25</x:v>
      </x:c>
      <x:c r="H6" s="26" t="n">
        <x:f>G6*'Service inputs'!$B$32/'Service inputs'!$B$5</x:f>
        <x:v>20.41448275862069</x:v>
      </x:c>
      <x:c r="I6" s="26" t="n">
        <x:f>G6*(1-'Service inputs'!$B$32)/'Service inputs'!$B$6</x:f>
        <x:v>4.625156249999999</x:v>
      </x:c>
      <x:c r="J6" s="12" t="str">
        <x:v>Atlas buildings, excluding golf/PIR. Confirm active public service scope.</x:v>
      </x:c>
    </x:row>
    <x:row r="7" ht="34" customHeight="1">
      <x:c r="A7" s="8" t="str">
        <x:v>Grounds</x:v>
      </x:c>
      <x:c r="B7" s="8" t="str">
        <x:v>Mowing and edging</x:v>
      </x:c>
      <x:c r="C7" s="8" t="str">
        <x:v>estimated turf acres</x:v>
      </x:c>
      <x:c r="D7" s="30" t="n">
        <x:f>SUM('Park model'!M5:M320)</x:f>
        <x:v>1302.3549821625488</x:v>
      </x:c>
      <x:c r="E7" s="30" t="n">
        <x:f>'Service inputs'!$B$20</x:f>
        <x:v>30</x:v>
      </x:c>
      <x:c r="F7" s="52" t="n">
        <x:f>'Service inputs'!$B$21</x:f>
        <x:v>0.5</x:v>
      </x:c>
      <x:c r="G7" s="18" t="n">
        <x:f>D7*E7*F7</x:f>
        <x:v>19535.324732438232</x:v>
      </x:c>
      <x:c r="H7" s="24" t="n">
        <x:f>G7*'Service inputs'!$B$32/'Service inputs'!$B$5</x:f>
        <x:v>10.778110197207301</x:v>
      </x:c>
      <x:c r="I7" s="24" t="n">
        <x:f>G7*(1-'Service inputs'!$B$32)/'Service inputs'!$B$6</x:f>
        <x:v>2.4419155915547783</x:v>
      </x:c>
      <x:c r="J7" s="11" t="str">
        <x:v>Estimated land-cover fraction, not measured turf inventory.</x:v>
      </x:c>
    </x:row>
    <x:row r="8" ht="34" customHeight="1">
      <x:c r="A8" s="7" t="str">
        <x:v>Grounds</x:v>
      </x:c>
      <x:c r="B8" s="7" t="str">
        <x:v>Turf renovation</x:v>
      </x:c>
      <x:c r="C8" s="7" t="str">
        <x:v>estimated turf acres</x:v>
      </x:c>
      <x:c r="D8" s="31" t="n">
        <x:f>SUM('Park model'!M5:M320)</x:f>
        <x:v>1302.3549821625488</x:v>
      </x:c>
      <x:c r="E8" s="31" t="n">
        <x:v>1</x:v>
      </x:c>
      <x:c r="F8" s="53" t="n">
        <x:f>'Service inputs'!$B$22</x:f>
        <x:v>8</x:v>
      </x:c>
      <x:c r="G8" s="19" t="n">
        <x:f>D8*E8*F8</x:f>
        <x:v>10418.83985730039</x:v>
      </x:c>
      <x:c r="H8" s="26" t="n">
        <x:f>G8*'Service inputs'!$B$32/'Service inputs'!$B$5</x:f>
        <x:v>5.748325438510561</x:v>
      </x:c>
      <x:c r="I8" s="26" t="n">
        <x:f>G8*(1-'Service inputs'!$B$32)/'Service inputs'!$B$6</x:f>
        <x:v>1.3023549821625486</x:v>
      </x:c>
      <x:c r="J8" s="12" t="str">
        <x:v>Routine renovation beyond mowing.</x:v>
      </x:c>
    </x:row>
    <x:row r="9" ht="34" customHeight="1">
      <x:c r="A9" s="8" t="str">
        <x:v>Grounds</x:v>
      </x:c>
      <x:c r="B9" s="8" t="str">
        <x:v>Horticulture / planting beds</x:v>
      </x:c>
      <x:c r="C9" s="8" t="str">
        <x:v>estimated bed acres</x:v>
      </x:c>
      <x:c r="D9" s="30" t="n">
        <x:f>SUM('Park model'!N5:N320)</x:f>
        <x:v>201.06075453549988</x:v>
      </x:c>
      <x:c r="E9" s="30" t="n">
        <x:v>1</x:v>
      </x:c>
      <x:c r="F9" s="52" t="n">
        <x:f>'Service inputs'!$B$23</x:f>
        <x:v>120</x:v>
      </x:c>
      <x:c r="G9" s="18" t="n">
        <x:f>D9*E9*F9</x:f>
        <x:v>24127.290544259988</x:v>
      </x:c>
      <x:c r="H9" s="24" t="n">
        <x:f>G9*'Service inputs'!$B$32/'Service inputs'!$B$5</x:f>
        <x:v>13.311608576143444</x:v>
      </x:c>
      <x:c r="I9" s="24" t="n">
        <x:f>G9*(1-'Service inputs'!$B$32)/'Service inputs'!$B$6</x:f>
        <x:v>3.0159113180324977</x:v>
      </x:c>
      <x:c r="J9" s="11" t="str">
        <x:v>Estimated land-cover fraction.</x:v>
      </x:c>
    </x:row>
    <x:row r="10" ht="34" customHeight="1">
      <x:c r="A10" s="7" t="str">
        <x:v>Grounds</x:v>
      </x:c>
      <x:c r="B10" s="7" t="str">
        <x:v>Field preparation</x:v>
      </x:c>
      <x:c r="C10" s="7" t="str">
        <x:v>mapped field records</x:v>
      </x:c>
      <x:c r="D10" s="31" t="n">
        <x:f>SUMPRODUCT('Park model'!F5:F320,'Park model'!I5:I320)</x:f>
        <x:v>245</x:v>
      </x:c>
      <x:c r="E10" s="31" t="n">
        <x:f>'Service inputs'!$B$24</x:f>
        <x:v>35</x:v>
      </x:c>
      <x:c r="F10" s="53" t="n">
        <x:f>'Service inputs'!$B$25</x:f>
        <x:v>3</x:v>
      </x:c>
      <x:c r="G10" s="19" t="n">
        <x:f>D10*E10*F10</x:f>
        <x:v>25725</x:v>
      </x:c>
      <x:c r="H10" s="26" t="n">
        <x:f>G10*'Service inputs'!$B$32/'Service inputs'!$B$5</x:f>
        <x:v>14.193103448275862</x:v>
      </x:c>
      <x:c r="I10" s="26" t="n">
        <x:f>G10*(1-'Service inputs'!$B$32)/'Service inputs'!$B$6</x:f>
        <x:v>3.2156249999999993</x:v>
      </x:c>
      <x:c r="J10" s="12" t="str">
        <x:v>Check co-located soccer/baseball surfaces; tasks beyond mowing.</x:v>
      </x:c>
    </x:row>
    <x:row r="11" ht="34" customHeight="1">
      <x:c r="A11" s="8" t="str">
        <x:v>Grounds</x:v>
      </x:c>
      <x:c r="B11" s="8" t="str">
        <x:v>Court cleaning</x:v>
      </x:c>
      <x:c r="C11" s="8" t="str">
        <x:v>mapped courts</x:v>
      </x:c>
      <x:c r="D11" s="30" t="n">
        <x:f>SUMPRODUCT('Park model'!F5:F320,'Park model'!J5:J320)</x:f>
        <x:v>258</x:v>
      </x:c>
      <x:c r="E11" s="30" t="n">
        <x:f>'Service inputs'!$B$26</x:f>
        <x:v>12</x:v>
      </x:c>
      <x:c r="F11" s="52" t="n">
        <x:f>'Service inputs'!$B$27</x:f>
        <x:v>1.5</x:v>
      </x:c>
      <x:c r="G11" s="18" t="n">
        <x:f>D11*E11*F11</x:f>
        <x:v>4644</x:v>
      </x:c>
      <x:c r="H11" s="24" t="n">
        <x:f>G11*'Service inputs'!$B$32/'Service inputs'!$B$5</x:f>
        <x:v>2.562206896551724</x:v>
      </x:c>
      <x:c r="I11" s="24" t="n">
        <x:f>G11*(1-'Service inputs'!$B$32)/'Service inputs'!$B$6</x:f>
        <x:v>0.5804999999999999</x:v>
      </x:c>
      <x:c r="J11" s="11" t="str">
        <x:v>Verify court-record scope.</x:v>
      </x:c>
    </x:row>
    <x:row r="12" ht="34" customHeight="1">
      <x:c r="A12" s="7" t="str">
        <x:v>Grounds</x:v>
      </x:c>
      <x:c r="B12" s="7" t="str">
        <x:v>Playground detailed inspections</x:v>
      </x:c>
      <x:c r="C12" s="7" t="str">
        <x:v>official playgrounds</x:v>
      </x:c>
      <x:c r="D12" s="31" t="n">
        <x:f>'Service inputs'!$B$46</x:f>
        <x:v>139</x:v>
      </x:c>
      <x:c r="E12" s="31" t="n">
        <x:f>'Service inputs'!$B$28</x:f>
        <x:v>52</x:v>
      </x:c>
      <x:c r="F12" s="53" t="n">
        <x:f>'Service inputs'!$B$29</x:f>
        <x:v>0.75</x:v>
      </x:c>
      <x:c r="G12" s="19" t="n">
        <x:f>D12*E12*F12</x:f>
        <x:v>5421</x:v>
      </x:c>
      <x:c r="H12" s="26" t="n">
        <x:f>G12*'Service inputs'!$B$32/'Service inputs'!$B$5</x:f>
        <x:v>2.990896551724138</x:v>
      </x:c>
      <x:c r="I12" s="26" t="n">
        <x:f>G12*(1-'Service inputs'!$B$32)/'Service inputs'!$B$6</x:f>
        <x:v>0.6776249999999999</x:v>
      </x:c>
      <x:c r="J12" s="12" t="str">
        <x:v>Uses official 139, not Atlas 127 documented playground places.</x:v>
      </x:c>
    </x:row>
    <x:row r="13" ht="34" customHeight="1">
      <x:c r="A13" s="8" t="str">
        <x:v>Grounds</x:v>
      </x:c>
      <x:c r="B13" s="8" t="str">
        <x:v>Water-feature operational checks</x:v>
      </x:c>
      <x:c r="C13" s="8" t="str">
        <x:v>documented sites</x:v>
      </x:c>
      <x:c r="D13" s="30" t="n">
        <x:f>SUMPRODUCT('Park model'!F5:F320,'Park model'!K5:K320)</x:f>
        <x:v>28</x:v>
      </x:c>
      <x:c r="E13" s="30" t="n">
        <x:f>'Service inputs'!$B$30</x:f>
        <x:v>120</x:v>
      </x:c>
      <x:c r="F13" s="52" t="n">
        <x:f>'Service inputs'!$B$31</x:f>
        <x:v>0.4</x:v>
      </x:c>
      <x:c r="G13" s="18" t="n">
        <x:f>D13*E13*F13</x:f>
        <x:v>1344</x:v>
      </x:c>
      <x:c r="H13" s="24" t="n">
        <x:f>G13*'Service inputs'!$B$32/'Service inputs'!$B$5</x:f>
        <x:v>0.7415172413793104</x:v>
      </x:c>
      <x:c r="I13" s="24" t="n">
        <x:f>G13*(1-'Service inputs'!$B$32)/'Service inputs'!$B$6</x:f>
        <x:v>0.16799999999999998</x:v>
      </x:c>
      <x:c r="J13" s="11" t="str">
        <x:v>Site count; number of water features per site needs confirmation.</x:v>
      </x:c>
    </x:row>
    <x:row r="14" ht="34" customHeight="1">
      <x:c r="A14" s="7" t="str">
        <x:v>Grounds</x:v>
      </x:c>
      <x:c r="B14" s="7" t="str">
        <x:v>Leaf / storm / winter grounds work</x:v>
      </x:c>
      <x:c r="C14" s="7" t="str">
        <x:v>developed park sites</x:v>
      </x:c>
      <x:c r="D14" s="31" t="n">
        <x:v>150</x:v>
      </x:c>
      <x:c r="E14" s="31" t="n">
        <x:v>1</x:v>
      </x:c>
      <x:c r="F14" s="53" t="n">
        <x:v>100</x:v>
      </x:c>
      <x:c r="G14" s="19" t="n">
        <x:f>D14*E14*F14</x:f>
        <x:v>15000</x:v>
      </x:c>
      <x:c r="H14" s="26" t="n">
        <x:f>G14*'Service inputs'!$B$32/'Service inputs'!$B$5</x:f>
        <x:v>8.275862068965518</x:v>
      </x:c>
      <x:c r="I14" s="26" t="n">
        <x:f>G14*(1-'Service inputs'!$B$32)/'Service inputs'!$B$6</x:f>
        <x:v>1.8749999999999998</x:v>
      </x:c>
      <x:c r="J14" s="12" t="str">
        <x:v>Annual person-hour allowance per site; excludes major tree emergencies.</x:v>
      </x:c>
    </x:row>
    <x:row r="15" ht="34" customHeight="1">
      <x:c r="A15" s="8" t="str">
        <x:v>Grounds</x:v>
      </x:c>
      <x:c r="B15" s="8" t="str">
        <x:v>Irrigation operations</x:v>
      </x:c>
      <x:c r="C15" s="8" t="str">
        <x:v>provisional irrigated sites</x:v>
      </x:c>
      <x:c r="D15" s="30" t="n">
        <x:v>166</x:v>
      </x:c>
      <x:c r="E15" s="30" t="n">
        <x:v>20</x:v>
      </x:c>
      <x:c r="F15" s="52" t="n">
        <x:v>2</x:v>
      </x:c>
      <x:c r="G15" s="18" t="n">
        <x:f>D15*E15*F15</x:f>
        <x:v>6640</x:v>
      </x:c>
      <x:c r="H15" s="24" t="n">
        <x:f>G15*'Service inputs'!$B$32/'Service inputs'!$B$5</x:f>
        <x:v>3.663448275862069</x:v>
      </x:c>
      <x:c r="I15" s="24" t="n">
        <x:f>G15*(1-'Service inputs'!$B$32)/'Service inputs'!$B$6</x:f>
        <x:v>0.8299999999999998</x:v>
      </x:c>
      <x:c r="J15" s="11" t="str">
        <x:v>Routine scheduling and minor troubleshooting; utilities repairs in trades.</x:v>
      </x:c>
    </x:row>
    <x:row r="16" ht="34" customHeight="1">
      <x:c r="A16" s="7" t="str">
        <x:v>Grounds</x:v>
      </x:c>
      <x:c r="B16" s="7" t="str">
        <x:v>Furnishings / dog area spot care</x:v>
      </x:c>
      <x:c r="C16" s="7" t="str">
        <x:v>Atlas furnishing records</x:v>
      </x:c>
      <x:c r="D16" s="31" t="n">
        <x:v>8183</x:v>
      </x:c>
      <x:c r="E16" s="31" t="n">
        <x:v>1</x:v>
      </x:c>
      <x:c r="F16" s="53" t="n">
        <x:v>0.5</x:v>
      </x:c>
      <x:c r="G16" s="19" t="n">
        <x:f>D16*E16*F16</x:f>
        <x:v>4091.5</x:v>
      </x:c>
      <x:c r="H16" s="26" t="n">
        <x:f>G16*'Service inputs'!$B$32/'Service inputs'!$B$5</x:f>
        <x:v>2.257379310344828</x:v>
      </x:c>
      <x:c r="I16" s="26" t="n">
        <x:f>G16*(1-'Service inputs'!$B$32)/'Service inputs'!$B$6</x:f>
        <x:v>0.5114374999999999</x:v>
      </x:c>
      <x:c r="J16" s="12" t="str">
        <x:v>Allowance beyond routine litter route; verify active scope.</x:v>
      </x:c>
    </x:row>
    <x:row r="17" ht="34" customHeight="1">
      <x:c r="A17" s="8" t="str">
        <x:v>Grounds</x:v>
      </x:c>
      <x:c r="B17" s="8" t="str">
        <x:v>Graffiti / special grounds response</x:v>
      </x:c>
      <x:c r="C17" s="8" t="str">
        <x:v>annual hours</x:v>
      </x:c>
      <x:c r="D17" s="30" t="n">
        <x:v>10000</x:v>
      </x:c>
      <x:c r="E17" s="30" t="n">
        <x:v>1</x:v>
      </x:c>
      <x:c r="F17" s="52" t="n">
        <x:v>1</x:v>
      </x:c>
      <x:c r="G17" s="18" t="n">
        <x:f>D17*E17*F17</x:f>
        <x:v>10000</x:v>
      </x:c>
      <x:c r="H17" s="24" t="n">
        <x:f>G17*'Service inputs'!$B$32/'Service inputs'!$B$5</x:f>
        <x:v>5.517241379310345</x:v>
      </x:c>
      <x:c r="I17" s="24" t="n">
        <x:f>G17*(1-'Service inputs'!$B$32)/'Service inputs'!$B$6</x:f>
        <x:v>1.2499999999999998</x:v>
      </x:c>
      <x:c r="J17" s="11" t="str">
        <x:v>Planning reserve, not a forecast from complaints.</x:v>
      </x:c>
    </x:row>
    <x:row r="18" ht="34" customHeight="1">
      <x:c r="A18" s="7" t="str">
        <x:v>Grounds</x:v>
      </x:c>
      <x:c r="B18" s="7" t="str">
        <x:v>Event setup / special cleanup</x:v>
      </x:c>
      <x:c r="C18" s="7" t="str">
        <x:v>events allowance</x:v>
      </x:c>
      <x:c r="D18" s="31" t="n">
        <x:v>800</x:v>
      </x:c>
      <x:c r="E18" s="31" t="n">
        <x:v>1</x:v>
      </x:c>
      <x:c r="F18" s="53" t="n">
        <x:v>4</x:v>
      </x:c>
      <x:c r="G18" s="19" t="n">
        <x:f>D18*E18*F18</x:f>
        <x:v>3200</x:v>
      </x:c>
      <x:c r="H18" s="26" t="n">
        <x:f>G18*'Service inputs'!$B$32/'Service inputs'!$B$5</x:f>
        <x:v>1.7655172413793103</x:v>
      </x:c>
      <x:c r="I18" s="26" t="n">
        <x:f>G18*(1-'Service inputs'!$B$32)/'Service inputs'!$B$6</x:f>
        <x:v>0.3999999999999999</x:v>
      </x:c>
      <x:c r="J18" s="12" t="str">
        <x:v>Work allowance; public calendar is not complete event workload.</x:v>
      </x:c>
    </x:row>
    <x:row r="19" ht="34" customHeight="1">
      <x:c r="A19" s="8" t="str">
        <x:v>Ecology</x:v>
      </x:c>
      <x:c r="B19" s="8" t="str">
        <x:v>Natural-area risk inspection</x:v>
      </x:c>
      <x:c r="C19" s="8" t="str">
        <x:v>official natural acres</x:v>
      </x:c>
      <x:c r="D19" s="30" t="n">
        <x:f>'Service inputs'!$B$44</x:f>
        <x:v>7895</x:v>
      </x:c>
      <x:c r="E19" s="30" t="n">
        <x:v>1</x:v>
      </x:c>
      <x:c r="F19" s="52" t="n">
        <x:f>'Service inputs'!$B$52</x:f>
        <x:v>0.5</x:v>
      </x:c>
      <x:c r="G19" s="18" t="n">
        <x:f>D19*E19*F19</x:f>
        <x:v>3947.5</x:v>
      </x:c>
      <x:c r="H19" s="24" t="n">
        <x:f>G19*'Service inputs'!$B$33/'Service inputs'!$B$5</x:f>
        <x:v>2.314051724137931</x:v>
      </x:c>
      <x:c r="I19" s="24" t="n">
        <x:f>G19*(1-'Service inputs'!$B$33)/'Service inputs'!$B$6</x:f>
        <x:v>0.3700781250000001</x:v>
      </x:c>
      <x:c r="J19" s="11" t="str">
        <x:v>System inventory; inspection sample and routing need staff validation.</x:v>
      </x:c>
    </x:row>
    <x:row r="20" ht="34" customHeight="1">
      <x:c r="A20" s="7" t="str">
        <x:v>Ecology</x:v>
      </x:c>
      <x:c r="B20" s="7" t="str">
        <x:v>Invasive plant treatment</x:v>
      </x:c>
      <x:c r="C20" s="7" t="str">
        <x:v>treatment acres</x:v>
      </x:c>
      <x:c r="D20" s="31" t="n">
        <x:f>'Service inputs'!$B$50</x:f>
        <x:v>1500</x:v>
      </x:c>
      <x:c r="E20" s="31" t="n">
        <x:v>1</x:v>
      </x:c>
      <x:c r="F20" s="53" t="n">
        <x:f>'Service inputs'!$B$51</x:f>
        <x:v>30</x:v>
      </x:c>
      <x:c r="G20" s="19" t="n">
        <x:f>D20*E20*F20</x:f>
        <x:v>45000</x:v>
      </x:c>
      <x:c r="H20" s="26" t="n">
        <x:f>G20*'Service inputs'!$B$33/'Service inputs'!$B$5</x:f>
        <x:v>26.379310344827587</x:v>
      </x:c>
      <x:c r="I20" s="26" t="n">
        <x:f>G20*(1-'Service inputs'!$B$33)/'Service inputs'!$B$6</x:f>
        <x:v>4.218750000000001</x:v>
      </x:c>
      <x:c r="J20" s="12" t="str">
        <x:v>Additional treatments may occur on same acre; not unique restored acres.</x:v>
      </x:c>
    </x:row>
    <x:row r="21" ht="34" customHeight="1">
      <x:c r="A21" s="8" t="str">
        <x:v>Ecology</x:v>
      </x:c>
      <x:c r="B21" s="8" t="str">
        <x:v>Trail care</x:v>
      </x:c>
      <x:c r="C21" s="8" t="str">
        <x:v>official trail miles</x:v>
      </x:c>
      <x:c r="D21" s="30" t="n">
        <x:f>'Service inputs'!$B$45</x:f>
        <x:v>158</x:v>
      </x:c>
      <x:c r="E21" s="30" t="n">
        <x:v>1</x:v>
      </x:c>
      <x:c r="F21" s="52" t="n">
        <x:f>'Service inputs'!$B$53</x:f>
        <x:v>70</x:v>
      </x:c>
      <x:c r="G21" s="18" t="n">
        <x:f>D21*E21*F21</x:f>
        <x:v>11060</x:v>
      </x:c>
      <x:c r="H21" s="24" t="n">
        <x:f>G21*'Service inputs'!$B$33/'Service inputs'!$B$5</x:f>
        <x:v>6.483448275862069</x:v>
      </x:c>
      <x:c r="I21" s="24" t="n">
        <x:f>G21*(1-'Service inputs'!$B$33)/'Service inputs'!$B$6</x:f>
        <x:v>1.0368750000000002</x:v>
      </x:c>
      <x:c r="J21" s="11" t="str">
        <x:v>Physical trail surface repairs and drains, distinct from daily litter route.</x:v>
      </x:c>
    </x:row>
    <x:row r="22" ht="34" customHeight="1">
      <x:c r="A22" s="7" t="str">
        <x:v>Ecology</x:v>
      </x:c>
      <x:c r="B22" s="7" t="str">
        <x:v>Habitat restoration</x:v>
      </x:c>
      <x:c r="C22" s="7" t="str">
        <x:v>restoration acres</x:v>
      </x:c>
      <x:c r="D22" s="31" t="n">
        <x:f>'Service inputs'!$B$54</x:f>
        <x:v>400</x:v>
      </x:c>
      <x:c r="E22" s="31" t="n">
        <x:v>1</x:v>
      </x:c>
      <x:c r="F22" s="53" t="n">
        <x:f>'Service inputs'!$B$55</x:f>
        <x:v>30</x:v>
      </x:c>
      <x:c r="G22" s="19" t="n">
        <x:f>D22*E22*F22</x:f>
        <x:v>12000</x:v>
      </x:c>
      <x:c r="H22" s="26" t="n">
        <x:f>G22*'Service inputs'!$B$33/'Service inputs'!$B$5</x:f>
        <x:v>7.0344827586206895</x:v>
      </x:c>
      <x:c r="I22" s="26" t="n">
        <x:f>G22*(1-'Service inputs'!$B$33)/'Service inputs'!$B$6</x:f>
        <x:v>1.1250000000000002</x:v>
      </x:c>
      <x:c r="J22" s="12" t="str">
        <x:v>Planting / establishment beyond invasive removal.</x:v>
      </x:c>
    </x:row>
    <x:row r="23" ht="34" customHeight="1">
      <x:c r="A23" s="8" t="str">
        <x:v>Ecology</x:v>
      </x:c>
      <x:c r="B23" s="8" t="str">
        <x:v>Wildfire / boundary treatment</x:v>
      </x:c>
      <x:c r="C23" s="8" t="str">
        <x:v>treatment acres</x:v>
      </x:c>
      <x:c r="D23" s="30" t="n">
        <x:f>'Service inputs'!$B$56</x:f>
        <x:v>600</x:v>
      </x:c>
      <x:c r="E23" s="30" t="n">
        <x:v>1</x:v>
      </x:c>
      <x:c r="F23" s="52" t="n">
        <x:f>'Service inputs'!$B$57</x:f>
        <x:v>12</x:v>
      </x:c>
      <x:c r="G23" s="18" t="n">
        <x:f>D23*E23*F23</x:f>
        <x:v>7200</x:v>
      </x:c>
      <x:c r="H23" s="24" t="n">
        <x:f>G23*'Service inputs'!$B$33/'Service inputs'!$B$5</x:f>
        <x:v>4.220689655172414</x:v>
      </x:c>
      <x:c r="I23" s="24" t="n">
        <x:f>G23*(1-'Service inputs'!$B$33)/'Service inputs'!$B$6</x:f>
        <x:v>0.6750000000000002</x:v>
      </x:c>
      <x:c r="J23" s="11" t="str">
        <x:v>Targeted boundary work; excludes tree crew emergency program.</x:v>
      </x:c>
    </x:row>
    <x:row r="24" ht="34" customHeight="1">
      <x:c r="A24" s="7" t="str">
        <x:v>Ecology</x:v>
      </x:c>
      <x:c r="B24" s="7" t="str">
        <x:v>Stewardship coordination</x:v>
      </x:c>
      <x:c r="C24" s="7" t="str">
        <x:v>annual hours</x:v>
      </x:c>
      <x:c r="D24" s="31" t="n">
        <x:f>'Service inputs'!$B$58</x:f>
        <x:v>7500</x:v>
      </x:c>
      <x:c r="E24" s="31" t="n">
        <x:v>1</x:v>
      </x:c>
      <x:c r="F24" s="53" t="n">
        <x:v>1</x:v>
      </x:c>
      <x:c r="G24" s="19" t="n">
        <x:f>D24*E24*F24</x:f>
        <x:v>7500</x:v>
      </x:c>
      <x:c r="H24" s="26" t="n">
        <x:f>G24*'Service inputs'!$B$33/'Service inputs'!$B$5</x:f>
        <x:v>4.396551724137931</x:v>
      </x:c>
      <x:c r="I24" s="26" t="n">
        <x:f>G24*(1-'Service inputs'!$B$33)/'Service inputs'!$B$6</x:f>
        <x:v>0.7031250000000001</x:v>
      </x:c>
      <x:c r="J24" s="12" t="str">
        <x:v>No unpaid labor deducted from core staffing.</x:v>
      </x:c>
    </x:row>
    <x:row r="25" ht="34" customHeight="1">
      <x:c r="A25" s="8" t="str">
        <x:v>Trades</x:v>
      </x:c>
      <x:c r="B25" s="8" t="str">
        <x:v>Building preventive service</x:v>
      </x:c>
      <x:c r="C25" s="8" t="str">
        <x:v>approximate buildings</x:v>
      </x:c>
      <x:c r="D25" s="30" t="n">
        <x:f>'Service inputs'!$B$47</x:f>
        <x:v>500</x:v>
      </x:c>
      <x:c r="E25" s="30" t="n">
        <x:v>4</x:v>
      </x:c>
      <x:c r="F25" s="52" t="n">
        <x:v>8</x:v>
      </x:c>
      <x:c r="G25" s="18" t="n">
        <x:f>D25*E25*F25</x:f>
        <x:v>16000</x:v>
      </x:c>
      <x:c r="H25" s="24" t="n">
        <x:f>G25*1/'Service inputs'!$B$5</x:f>
        <x:v>11.03448275862069</x:v>
      </x:c>
      <x:c r="I25" s="24" t="n">
        <x:f>G25*(1-1)/'Service inputs'!$B$6</x:f>
        <x:v>0</x:v>
      </x:c>
      <x:c r="J25" s="11" t="str">
        <x:v>Quarterly base checks; occupied centers/pool plants get additional service.</x:v>
      </x:c>
    </x:row>
    <x:row r="26" ht="34" customHeight="1">
      <x:c r="A26" s="7" t="str">
        <x:v>Trades</x:v>
      </x:c>
      <x:c r="B26" s="7" t="str">
        <x:v>Pool plant preventive maintenance</x:v>
      </x:c>
      <x:c r="C26" s="7" t="str">
        <x:v>pools</x:v>
      </x:c>
      <x:c r="D26" s="31" t="n">
        <x:f>'Service inputs'!$B$48</x:f>
        <x:v>11</x:v>
      </x:c>
      <x:c r="E26" s="31" t="n">
        <x:v>52</x:v>
      </x:c>
      <x:c r="F26" s="53" t="n">
        <x:v>12</x:v>
      </x:c>
      <x:c r="G26" s="19" t="n">
        <x:f>D26*E26*F26</x:f>
        <x:v>6864</x:v>
      </x:c>
      <x:c r="H26" s="26" t="n">
        <x:f>G26*1/'Service inputs'!$B$5</x:f>
        <x:v>4.733793103448276</x:v>
      </x:c>
      <x:c r="I26" s="26" t="n">
        <x:f>G26*(1-1)/'Service inputs'!$B$6</x:f>
        <x:v>0</x:v>
      </x:c>
      <x:c r="J26" s="12" t="str">
        <x:v>Technical maintenance; lifeguards and pool operations remain in retained programs.</x:v>
      </x:c>
    </x:row>
    <x:row r="27" ht="34" customHeight="1">
      <x:c r="A27" s="8" t="str">
        <x:v>Trades</x:v>
      </x:c>
      <x:c r="B27" s="8" t="str">
        <x:v>Occupied recreation buildings</x:v>
      </x:c>
      <x:c r="C27" s="8" t="str">
        <x:v>centers allowance</x:v>
      </x:c>
      <x:c r="D27" s="30" t="n">
        <x:v>11</x:v>
      </x:c>
      <x:c r="E27" s="30" t="n">
        <x:v>52</x:v>
      </x:c>
      <x:c r="F27" s="52" t="n">
        <x:v>12</x:v>
      </x:c>
      <x:c r="G27" s="18" t="n">
        <x:f>D27*E27*F27</x:f>
        <x:v>6864</x:v>
      </x:c>
      <x:c r="H27" s="24" t="n">
        <x:f>G27*1/'Service inputs'!$B$5</x:f>
        <x:v>4.733793103448276</x:v>
      </x:c>
      <x:c r="I27" s="24" t="n">
        <x:f>G27*(1-1)/'Service inputs'!$B$6</x:f>
        <x:v>0</x:v>
      </x:c>
      <x:c r="J27" s="11" t="str">
        <x:v>Additional HVAC/mechanical service above quarterly base.</x:v>
      </x:c>
    </x:row>
    <x:row r="28" ht="34" customHeight="1">
      <x:c r="A28" s="7" t="str">
        <x:v>Trades</x:v>
      </x:c>
      <x:c r="B28" s="7" t="str">
        <x:v>Reactive repairs</x:v>
      </x:c>
      <x:c r="C28" s="7" t="str">
        <x:v>jobs allowance</x:v>
      </x:c>
      <x:c r="D28" s="31" t="n">
        <x:v>4000</x:v>
      </x:c>
      <x:c r="E28" s="31" t="n">
        <x:v>1</x:v>
      </x:c>
      <x:c r="F28" s="53" t="n">
        <x:v>8</x:v>
      </x:c>
      <x:c r="G28" s="19" t="n">
        <x:f>D28*E28*F28</x:f>
        <x:v>32000</x:v>
      </x:c>
      <x:c r="H28" s="26" t="n">
        <x:f>G28*1/'Service inputs'!$B$5</x:f>
        <x:v>22.06896551724138</x:v>
      </x:c>
      <x:c r="I28" s="26" t="n">
        <x:f>G28*(1-1)/'Service inputs'!$B$6</x:f>
        <x:v>0</x:v>
      </x:c>
      <x:c r="J28" s="12" t="str">
        <x:v>Unverified volume; replace with actual work-order distribution.</x:v>
      </x:c>
    </x:row>
    <x:row r="29" ht="34" customHeight="1">
      <x:c r="A29" s="8" t="str">
        <x:v>Trades</x:v>
      </x:c>
      <x:c r="B29" s="8" t="str">
        <x:v>Underground utilities care</x:v>
      </x:c>
      <x:c r="C29" s="8" t="str">
        <x:v>infrastructure miles</x:v>
      </x:c>
      <x:c r="D29" s="30" t="n">
        <x:f>'Service inputs'!$B$49</x:f>
        <x:v>650</x:v>
      </x:c>
      <x:c r="E29" s="30" t="n">
        <x:v>1</x:v>
      </x:c>
      <x:c r="F29" s="52" t="n">
        <x:v>20</x:v>
      </x:c>
      <x:c r="G29" s="18" t="n">
        <x:f>D29*E29*F29</x:f>
        <x:v>13000</x:v>
      </x:c>
      <x:c r="H29" s="24" t="n">
        <x:f>G29*1/'Service inputs'!$B$5</x:f>
        <x:v>8.96551724137931</x:v>
      </x:c>
      <x:c r="I29" s="24" t="n">
        <x:f>G29*(1-1)/'Service inputs'!$B$6</x:f>
        <x:v>0</x:v>
      </x:c>
      <x:c r="J29" s="11" t="str">
        <x:v>Routine repair and inspection; replacement funded in capital.</x:v>
      </x:c>
    </x:row>
    <x:row r="30" ht="34" customHeight="1">
      <x:c r="A30" s="7" t="str">
        <x:v>Trades</x:v>
      </x:c>
      <x:c r="B30" s="7" t="str">
        <x:v>Small equipment maintenance</x:v>
      </x:c>
      <x:c r="C30" s="7" t="str">
        <x:v>equipment allowance</x:v>
      </x:c>
      <x:c r="D30" s="31" t="n">
        <x:v>250</x:v>
      </x:c>
      <x:c r="E30" s="31" t="n">
        <x:v>1</x:v>
      </x:c>
      <x:c r="F30" s="53" t="n">
        <x:v>30</x:v>
      </x:c>
      <x:c r="G30" s="19" t="n">
        <x:f>D30*E30*F30</x:f>
        <x:v>7500</x:v>
      </x:c>
      <x:c r="H30" s="26" t="n">
        <x:f>G30*1/'Service inputs'!$B$5</x:f>
        <x:v>5.172413793103448</x:v>
      </x:c>
      <x:c r="I30" s="26" t="n">
        <x:f>G30*(1-1)/'Service inputs'!$B$6</x:f>
        <x:v>0</x:v>
      </x:c>
      <x:c r="J30" s="12" t="str">
        <x:v>Parks-owned small equipment only; central CityFleet charges retained separately.</x:v>
      </x:c>
    </x:row>
    <x:row r="31" ht="34" customHeight="1">
      <x:c r="A31" s="8" t="str">
        <x:v>Trades</x:v>
      </x:c>
      <x:c r="B31" s="8" t="str">
        <x:v>Lighting inspections / minor repair</x:v>
      </x:c>
      <x:c r="C31" s="8" t="str">
        <x:v>Atlas light poles</x:v>
      </x:c>
      <x:c r="D31" s="30" t="n">
        <x:v>3176</x:v>
      </x:c>
      <x:c r="E31" s="30" t="n">
        <x:v>1</x:v>
      </x:c>
      <x:c r="F31" s="52" t="n">
        <x:v>0.5</x:v>
      </x:c>
      <x:c r="G31" s="18" t="n">
        <x:f>D31*E31*F31</x:f>
        <x:v>1588</x:v>
      </x:c>
      <x:c r="H31" s="24" t="n">
        <x:f>G31*1/'Service inputs'!$B$5</x:f>
        <x:v>1.0951724137931034</x:v>
      </x:c>
      <x:c r="I31" s="24" t="n">
        <x:f>G31*(1-1)/'Service inputs'!$B$6</x:f>
        <x:v>0</x:v>
      </x:c>
      <x:c r="J31" s="11" t="str">
        <x:v>Mapped inventory, current condition and inactive poles need confirmation.</x:v>
      </x:c>
    </x:row>
    <x:row r="32" ht="34" customHeight="1">
      <x:c r="A32" s="7" t="str">
        <x:v>Trades</x:v>
      </x:c>
      <x:c r="B32" s="7" t="str">
        <x:v>Play equipment repairs</x:v>
      </x:c>
      <x:c r="C32" s="7" t="str">
        <x:v>playgrounds</x:v>
      </x:c>
      <x:c r="D32" s="31" t="n">
        <x:f>'Service inputs'!$B$46</x:f>
        <x:v>139</x:v>
      </x:c>
      <x:c r="E32" s="31" t="n">
        <x:v>1</x:v>
      </x:c>
      <x:c r="F32" s="53" t="n">
        <x:v>20</x:v>
      </x:c>
      <x:c r="G32" s="19" t="n">
        <x:f>D32*E32*F32</x:f>
        <x:v>2780</x:v>
      </x:c>
      <x:c r="H32" s="26" t="n">
        <x:f>G32*1/'Service inputs'!$B$5</x:f>
        <x:v>1.9172413793103449</x:v>
      </x:c>
      <x:c r="I32" s="26" t="n">
        <x:f>G32*(1-1)/'Service inputs'!$B$6</x:f>
        <x:v>0</x:v>
      </x:c>
      <x:c r="J32" s="12" t="str">
        <x:v>Repairs beyond grounds inspections; major replacements in capital.</x:v>
      </x:c>
    </x:row>
    <x:row r="33" ht="34" customHeight="1">
      <x:c r="A33" s="8" t="str">
        <x:v>Trades</x:v>
      </x:c>
      <x:c r="B33" s="8" t="str">
        <x:v>Water-feature technical service</x:v>
      </x:c>
      <x:c r="C33" s="8" t="str">
        <x:v>official features allowance</x:v>
      </x:c>
      <x:c r="D33" s="30" t="n">
        <x:v>30</x:v>
      </x:c>
      <x:c r="E33" s="30" t="n">
        <x:v>1</x:v>
      </x:c>
      <x:c r="F33" s="52" t="n">
        <x:v>24</x:v>
      </x:c>
      <x:c r="G33" s="18" t="n">
        <x:f>D33*E33*F33</x:f>
        <x:v>720</x:v>
      </x:c>
      <x:c r="H33" s="24" t="n">
        <x:f>G33*1/'Service inputs'!$B$5</x:f>
        <x:v>0.496551724137931</x:v>
      </x:c>
      <x:c r="I33" s="24" t="n">
        <x:f>G33*(1-1)/'Service inputs'!$B$6</x:f>
        <x:v>0</x:v>
      </x:c>
      <x:c r="J33" s="11" t="str">
        <x:v>Technical service beyond routine operational checks.</x:v>
      </x:c>
    </x:row>
    <x:row r="34" ht="34" customHeight="1">
      <x:c r="A34" s="7"/>
      <x:c r="B34" s="7"/>
      <x:c r="C34" s="7"/>
      <x:c r="D34" s="31"/>
      <x:c r="E34" s="31"/>
      <x:c r="F34" s="53"/>
      <x:c r="G34" s="19"/>
      <x:c r="H34" s="19"/>
      <x:c r="I34" s="19"/>
      <x:c r="J34" s="12"/>
    </x:row>
    <x:row r="35" ht="34" customHeight="1">
      <x:c r="A35" s="8"/>
      <x:c r="B35" s="8"/>
      <x:c r="C35" s="8"/>
      <x:c r="D35" s="30"/>
      <x:c r="E35" s="30"/>
      <x:c r="F35" s="52"/>
      <x:c r="G35" s="18"/>
      <x:c r="H35" s="18"/>
      <x:c r="I35" s="18"/>
      <x:c r="J35" s="11"/>
    </x:row>
    <x:row r="36" ht="34" customHeight="1">
      <x:c r="A36" s="7"/>
      <x:c r="B36" s="7"/>
      <x:c r="C36" s="7"/>
      <x:c r="D36" s="31"/>
      <x:c r="E36" s="31"/>
      <x:c r="F36" s="53"/>
      <x:c r="G36" s="19"/>
      <x:c r="H36" s="19"/>
      <x:c r="I36" s="19"/>
      <x:c r="J36" s="12"/>
    </x:row>
    <x:row r="37" ht="34" customHeight="1">
      <x:c r="A37" s="8"/>
      <x:c r="B37" s="8"/>
      <x:c r="C37" s="8"/>
      <x:c r="D37" s="30"/>
      <x:c r="E37" s="30"/>
      <x:c r="F37" s="52"/>
      <x:c r="G37" s="18"/>
      <x:c r="H37" s="18"/>
      <x:c r="I37" s="18"/>
      <x:c r="J37" s="11"/>
    </x:row>
    <x:row r="38" ht="34" customHeight="1">
      <x:c r="A38" s="7"/>
      <x:c r="B38" s="7"/>
      <x:c r="C38" s="7"/>
      <x:c r="D38" s="31"/>
      <x:c r="E38" s="31"/>
      <x:c r="F38" s="53"/>
      <x:c r="G38" s="19"/>
      <x:c r="H38" s="19"/>
      <x:c r="I38" s="19"/>
      <x:c r="J38" s="12"/>
    </x:row>
    <x:row r="39" ht="34" customHeight="1">
      <x:c r="A39" s="8"/>
      <x:c r="B39" s="8"/>
      <x:c r="C39" s="8"/>
      <x:c r="D39" s="30"/>
      <x:c r="E39" s="30"/>
      <x:c r="F39" s="52"/>
      <x:c r="G39" s="18"/>
      <x:c r="H39" s="18"/>
      <x:c r="I39" s="18"/>
      <x:c r="J39" s="11"/>
    </x:row>
    <x:row r="40" ht="34" customHeight="1">
      <x:c r="A40" s="7"/>
      <x:c r="B40" s="7"/>
      <x:c r="C40" s="7"/>
      <x:c r="D40" s="31"/>
      <x:c r="E40" s="31"/>
      <x:c r="F40" s="53"/>
      <x:c r="G40" s="19"/>
      <x:c r="H40" s="19"/>
      <x:c r="I40" s="19"/>
      <x:c r="J40" s="12"/>
    </x:row>
  </x:sheetData>
  <x:mergeCells>
    <x:mergeCell ref="A2:J2"/>
  </x:mergeCells>
  <x:pageMargins left="0.7" right="0.7" top="0.75" bottom="0.75" header="0.3" footer="0.3"/>
</x:worksheet>
</file>

<file path=xl/worksheets/sheet5.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3" hidden="0" customWidth="1"/>
    <x:col min="2" max="2" width="21" hidden="0" customWidth="1"/>
    <x:col min="3" max="3" width="22" hidden="0" customWidth="1"/>
    <x:col min="4" max="4" width="24" hidden="0" customWidth="1"/>
    <x:col min="5" max="5" width="24" hidden="0" customWidth="1"/>
    <x:col min="6" max="6" width="23" hidden="0" customWidth="1"/>
    <x:col min="7" max="7" width="21" hidden="0" customWidth="1"/>
    <x:col min="8" max="8" width="90" hidden="0" customWidth="1"/>
    <x:col min="9" max="9" width="24" hidden="0" customWidth="1"/>
    <x:col min="10" max="10" width="24" hidden="0" customWidth="1"/>
  </x:cols>
  <x:sheetData>
    <x:row r="1" ht="32" customHeight="1">
      <x:c r="A1" s="1" t="str">
        <x:v>Staffing</x:v>
      </x:c>
    </x:row>
    <x:row r="2" ht="42" customHeight="1">
      <x:c r="A2" s="3" t="str">
        <x:v>Hybrid model: bottom-up core care, explicit service staffing, and unchanged budgets for functions without sufficient workload data. Retained seasonal labor stays inside retained expense; it is not counted in the seasonal column.</x:v>
      </x:c>
      <x:c r="B2" s="3"/>
      <x:c r="C2" s="3"/>
      <x:c r="D2" s="3"/>
      <x:c r="E2" s="3"/>
      <x:c r="F2" s="3"/>
      <x:c r="G2" s="3"/>
      <x:c r="H2" s="3"/>
      <x:c r="I2" s="3"/>
      <x:c r="J2" s="3"/>
    </x:row>
    <x:row r="4" ht="34" customHeight="1">
      <x:c r="A4" s="6" t="str">
        <x:v>Function</x:v>
      </x:c>
      <x:c r="B4" s="6" t="str">
        <x:v>Current career FTE</x:v>
      </x:c>
      <x:c r="C4" s="6" t="str">
        <x:v>Proposed career FTE</x:v>
      </x:c>
      <x:c r="D4" s="6" t="str">
        <x:v>Seasonal annualized FTE</x:v>
      </x:c>
      <x:c r="E4" s="6" t="str">
        <x:v>Current bureau expense</x:v>
      </x:c>
      <x:c r="F4" s="6" t="str">
        <x:v>Proposed expense</x:v>
      </x:c>
      <x:c r="G4" s="6" t="str">
        <x:v>Difference</x:v>
      </x:c>
      <x:c r="H4" s="6" t="str">
        <x:v>Staff / scope</x:v>
      </x:c>
      <x:c r="I4" s="6" t="str">
        <x:v>Retained nonlabor</x:v>
      </x:c>
      <x:c r="J4" s="6" t="str">
        <x:v>Modeled labor</x:v>
      </x:c>
    </x:row>
    <x:row r="5" ht="42" customHeight="1">
      <x:c r="A5" s="8" t="str">
        <x:v>Grounds</x:v>
      </x:c>
      <x:c r="B5" s="24" t="n">
        <x:f>'Budget baseline'!D15</x:f>
        <x:v>141.3</x:v>
      </x:c>
      <x:c r="C5" s="24" t="n">
        <x:f>ROUNDUP(SUMIF(Workload!$A$5:$A$40,"Grounds",Workload!$H$5:$H$40),0)+'Service inputs'!$B$34</x:f>
        <x:v>167</x:v>
      </x:c>
      <x:c r="D5" s="24" t="n">
        <x:f>ROUNDUP(SUMIF(Workload!$A$5:$A$40,"Grounds",Workload!$I$5:$I$40),0)</x:f>
        <x:v>35</x:v>
      </x:c>
      <x:c r="E5" s="25" t="n">
        <x:f>'Budget baseline'!B15</x:f>
        <x:v>30239793</x:v>
      </x:c>
      <x:c r="F5" s="25" t="n">
        <x:f>I5+J5+'Service inputs'!$B$41</x:f>
        <x:v>36589216</x:v>
      </x:c>
      <x:c r="G5" s="20" t="n">
        <x:f>F5-E5</x:f>
        <x:v>6349423</x:v>
      </x:c>
      <x:c r="H5" s="11" t="str">
        <x:v>Park technicians, horticulture, turf, cleaning + 16 supervisors</x:v>
      </x:c>
      <x:c r="I5" s="25" t="n">
        <x:f>'Budget baseline'!E15</x:f>
        <x:v>8434216</x:v>
      </x:c>
      <x:c r="J5" s="25" t="n">
        <x:f>(C5-'Service inputs'!$B$34)*'Service inputs'!$B$7+'Service inputs'!$B$34*'Service inputs'!$B$12+D5*'Service inputs'!$B$8</x:f>
        <x:v>27655000</x:v>
      </x:c>
    </x:row>
    <x:row r="6" ht="42" customHeight="1">
      <x:c r="A6" s="7" t="str">
        <x:v>Trades</x:v>
      </x:c>
      <x:c r="B6" s="26" t="n">
        <x:f>'Budget baseline'!D12</x:f>
        <x:v>77.75</x:v>
      </x:c>
      <x:c r="C6" s="26" t="n">
        <x:f>ROUNDUP(SUMIF(Workload!$A$5:$A$40,"Trades",Workload!$H$5:$H$40),0)+'Service inputs'!$B$35</x:f>
        <x:v>69</x:v>
      </x:c>
      <x:c r="D6" s="26" t="n">
        <x:f>ROUNDUP(SUMIF(Workload!$A$5:$A$40,"Trades",Workload!$I$5:$I$40),0)</x:f>
        <x:v>0</x:v>
      </x:c>
      <x:c r="E6" s="27" t="n">
        <x:f>'Budget baseline'!B12</x:f>
        <x:v>19184931</x:v>
      </x:c>
      <x:c r="F6" s="21" t="n">
        <x:f>I6+J6+0</x:f>
        <x:v>18620789</x:v>
      </x:c>
      <x:c r="G6" s="21" t="n">
        <x:f>F6-E6</x:f>
        <x:v>-564142</x:v>
      </x:c>
      <x:c r="H6" s="12" t="str">
        <x:v>69 FTE is a placeholder workload result, NOT a proposed cut. Preserve existing trades capacity until tasks, vacancies and nonproductive time are validated.</x:v>
      </x:c>
      <x:c r="I6" s="27" t="n">
        <x:f>'Budget baseline'!E12</x:f>
        <x:v>6770789</x:v>
      </x:c>
      <x:c r="J6" s="27" t="n">
        <x:f>(C6-'Service inputs'!$B$35)*'Service inputs'!$B$9+'Service inputs'!$B$35*'Service inputs'!$B$12+D6*'Service inputs'!$B$11</x:f>
        <x:v>11850000</x:v>
      </x:c>
    </x:row>
    <x:row r="7" ht="42" customHeight="1">
      <x:c r="A7" s="8" t="str">
        <x:v>Ecology</x:v>
      </x:c>
      <x:c r="B7" s="24" t="n">
        <x:f>'Budget baseline'!D14</x:f>
        <x:v>32.2</x:v>
      </x:c>
      <x:c r="C7" s="24" t="n">
        <x:f>ROUNDUP(SUMIF(Workload!$A$5:$A$40,"Ecology",Workload!$H$5:$H$40),0)+'Service inputs'!$B$36</x:f>
        <x:v>57</x:v>
      </x:c>
      <x:c r="D7" s="24" t="n">
        <x:f>ROUNDUP(SUMIF(Workload!$A$5:$A$40,"Ecology",Workload!$I$5:$I$40),0)</x:f>
        <x:v>9</x:v>
      </x:c>
      <x:c r="E7" s="25" t="n">
        <x:f>'Budget baseline'!B14</x:f>
        <x:v>6789489</x:v>
      </x:c>
      <x:c r="F7" s="25" t="n">
        <x:f>I7+J7+'Service inputs'!$B$42</x:f>
        <x:v>12611888</x:v>
      </x:c>
      <x:c r="G7" s="20" t="n">
        <x:f>F7-E7</x:f>
        <x:v>5822399</x:v>
      </x:c>
      <x:c r="H7" s="11" t="str">
        <x:v>Ecologists, restoration / trails crews, stewardship + 6 supervisors</x:v>
      </x:c>
      <x:c r="I7" s="25" t="n">
        <x:f>'Budget baseline'!E14</x:f>
        <x:v>1576888</x:v>
      </x:c>
      <x:c r="J7" s="25" t="n">
        <x:f>(C7-'Service inputs'!$B$36)*'Service inputs'!$B$10+'Service inputs'!$B$36*'Service inputs'!$B$12+D7*'Service inputs'!$B$11</x:f>
        <x:v>10035000</x:v>
      </x:c>
    </x:row>
    <x:row r="8" ht="42" customHeight="1">
      <x:c r="A8" s="7" t="str">
        <x:v>Visitor services</x:v>
      </x:c>
      <x:c r="B8" s="26" t="n">
        <x:f>'Budget baseline'!D22</x:f>
        <x:v>46</x:v>
      </x:c>
      <x:c r="C8" s="26" t="n">
        <x:f>'Service inputs'!$B$37</x:f>
        <x:v>58</x:v>
      </x:c>
      <x:c r="D8" s="26" t="n">
        <x:f>'Service inputs'!$B$38</x:f>
        <x:v>12</x:v>
      </x:c>
      <x:c r="E8" s="27" t="n">
        <x:f>'Budget baseline'!B22</x:f>
        <x:v>8575419</x:v>
      </x:c>
      <x:c r="F8" s="21" t="n">
        <x:f>I8+J8</x:f>
        <x:v>11148378</x:v>
      </x:c>
      <x:c r="G8" s="21" t="n">
        <x:f>F8-E8</x:f>
        <x:v>2572959</x:v>
      </x:c>
      <x:c r="H8" s="12" t="str">
        <x:v>42 rangers; 16 reservations, inclusion and supervision; peak coverage seasonal.</x:v>
      </x:c>
      <x:c r="I8" s="27" t="n">
        <x:f>'Budget baseline'!E22</x:f>
        <x:v>1138378</x:v>
      </x:c>
      <x:c r="J8" s="27" t="n">
        <x:f>C8*'Service inputs'!$B$13+D8*'Service inputs'!$B$14</x:f>
        <x:v>10010000</x:v>
      </x:c>
    </x:row>
    <x:row r="9" ht="42" customHeight="1">
      <x:c r="A9" s="8" t="str">
        <x:v>Asset / service planning</x:v>
      </x:c>
      <x:c r="B9" s="24" t="n">
        <x:f>'Budget baseline'!D7+'Budget baseline'!D16</x:f>
        <x:v>10.5</x:v>
      </x:c>
      <x:c r="C9" s="24" t="n">
        <x:f>'Service inputs'!$B$39</x:f>
        <x:v>24</x:v>
      </x:c>
      <x:c r="D9" s="18" t="n">
        <x:v>0</x:v>
      </x:c>
      <x:c r="E9" s="25" t="n">
        <x:f>'Budget baseline'!B7+'Budget baseline'!B16</x:f>
        <x:v>2313323</x:v>
      </x:c>
      <x:c r="F9" s="25" t="n">
        <x:f>I9+J9+'Service inputs'!$B$43</x:f>
        <x:v>5019700</x:v>
      </x:c>
      <x:c r="G9" s="20" t="n">
        <x:f>F9-E9</x:f>
        <x:v>2706377</x:v>
      </x:c>
      <x:c r="H9" s="11" t="str">
        <x:v>8 asset/GIS; 6 work planning/dispatch; 6 lifecycle/service planning; 4 performance/access.</x:v>
      </x:c>
      <x:c r="I9" s="25" t="n">
        <x:f>'Budget baseline'!E7+'Budget baseline'!E16</x:f>
        <x:v>199700</x:v>
      </x:c>
      <x:c r="J9" s="25" t="n">
        <x:f>C9*'Service inputs'!$B$15</x:f>
        <x:v>4320000</x:v>
      </x:c>
    </x:row>
    <x:row r="10" ht="42" customHeight="1">
      <x:c r="A10" s="7" t="str">
        <x:v>Other services retained</x:v>
      </x:c>
      <x:c r="B10" s="26" t="n">
        <x:f>'Budget baseline'!D5+'Budget baseline'!D6+'Budget baseline'!D8+'Budget baseline'!D10+'Budget baseline'!D11+'Budget baseline'!D13+'Budget baseline'!D17+'Budget baseline'!D18+'Budget baseline'!D19+'Budget baseline'!D20+'Budget baseline'!D21+'Budget baseline'!D23</x:f>
        <x:v>389.17</x:v>
      </x:c>
      <x:c r="C10" s="19" t="n">
        <x:f>B10</x:f>
        <x:v>389.17</x:v>
      </x:c>
      <x:c r="D10" s="19"/>
      <x:c r="E10" s="27" t="n">
        <x:f>'Budget baseline'!B5+'Budget baseline'!B6+'Budget baseline'!B8+'Budget baseline'!B10+'Budget baseline'!B11+'Budget baseline'!B13+'Budget baseline'!B17+'Budget baseline'!B18+'Budget baseline'!B19+'Budget baseline'!B20+'Budget baseline'!B21+'Budget baseline'!B23</x:f>
        <x:v>173077160</x:v>
      </x:c>
      <x:c r="F10" s="21" t="n">
        <x:f>E10</x:f>
        <x:v>173077160</x:v>
      </x:c>
      <x:c r="G10" s="21" t="n">
        <x:f>F10-E10</x:f>
        <x:v>0</x:v>
      </x:c>
      <x:c r="H10" s="12" t="str">
        <x:v>Recreation, arts, community programs, golf/PIR, citywide urban forestry, business/property/leadership. Seasonal FTE unknown; expense retained.</x:v>
      </x:c>
      <x:c r="I10" s="27" t="n">
        <x:f>'Budget baseline'!E5+'Budget baseline'!E6+'Budget baseline'!E8+'Budget baseline'!E10+'Budget baseline'!E11+'Budget baseline'!E13+'Budget baseline'!E17+'Budget baseline'!E18+'Budget baseline'!E19+'Budget baseline'!E20+'Budget baseline'!E21+'Budget baseline'!E23</x:f>
        <x:v>86873130</x:v>
      </x:c>
      <x:c r="J10" s="27" t="n">
        <x:f>'Budget baseline'!C5+'Budget baseline'!C6+'Budget baseline'!C8+'Budget baseline'!C10+'Budget baseline'!C11+'Budget baseline'!C13+'Budget baseline'!C17+'Budget baseline'!C18+'Budget baseline'!C19+'Budget baseline'!C20+'Budget baseline'!C21+'Budget baseline'!C23</x:f>
        <x:v>86204030</x:v>
      </x:c>
    </x:row>
    <x:row r="11" ht="42" customHeight="1">
      <x:c r="A11" s="8" t="str">
        <x:v>Capital delivery</x:v>
      </x:c>
      <x:c r="B11" s="24" t="n">
        <x:f>'Budget baseline'!D9</x:f>
        <x:v>26.3</x:v>
      </x:c>
      <x:c r="C11" s="24" t="n">
        <x:f>'Service inputs'!$B$40</x:f>
        <x:v>32</x:v>
      </x:c>
      <x:c r="D11" s="18" t="n">
        <x:v>0</x:v>
      </x:c>
      <x:c r="E11" s="25" t="n">
        <x:f>'Budget baseline'!B9</x:f>
        <x:v>99635318</x:v>
      </x:c>
      <x:c r="F11" s="25" t="n">
        <x:f>Capital!D22</x:f>
        <x:v>127967456.00000001</x:v>
      </x:c>
      <x:c r="G11" s="20" t="n">
        <x:f>F11-E11</x:f>
        <x:v>28332138.000000015</x:v>
      </x:c>
      <x:c r="H11" s="11" t="str">
        <x:v>Owner delivery staff included within capital envelope. External design, construction, contingency also inside envelope.</x:v>
      </x:c>
      <x:c r="I11" s="20" t="n">
        <x:f>F11-J11</x:f>
        <x:v>121887456.00000001</x:v>
      </x:c>
      <x:c r="J11" s="25" t="n">
        <x:f>C11*'Service inputs'!$B$16</x:f>
        <x:v>6080000</x:v>
      </x:c>
    </x:row>
    <x:row r="12" ht="23" customHeight="1">
      <x:c r="A12" s="7"/>
      <x:c r="B12" s="19"/>
      <x:c r="C12" s="19"/>
      <x:c r="D12" s="19"/>
      <x:c r="E12" s="21"/>
      <x:c r="F12" s="21"/>
      <x:c r="G12" s="21"/>
      <x:c r="H12" s="7"/>
      <x:c r="I12" s="21"/>
      <x:c r="J12" s="21"/>
    </x:row>
    <x:row r="13" ht="23" customHeight="1">
      <x:c r="A13" s="8" t="str">
        <x:v>Continuing operations</x:v>
      </x:c>
      <x:c r="B13" s="18" t="n">
        <x:f>SUM(B5:B10)</x:f>
        <x:v>696.9200000000001</x:v>
      </x:c>
      <x:c r="C13" s="18" t="n">
        <x:f>SUM(C5:C10)</x:f>
        <x:v>764.1700000000001</x:v>
      </x:c>
      <x:c r="D13" s="18" t="n">
        <x:f>SUM(D5:D9)</x:f>
        <x:v>56</x:v>
      </x:c>
      <x:c r="E13" s="20" t="n">
        <x:f>SUM(E5:E10)</x:f>
        <x:v>240180115</x:v>
      </x:c>
      <x:c r="F13" s="20" t="n">
        <x:f>SUM(F5:F10)</x:f>
        <x:v>257067131</x:v>
      </x:c>
      <x:c r="G13" s="20" t="n">
        <x:f>SUM(G5:G10)</x:f>
        <x:v>16887016</x:v>
      </x:c>
      <x:c r="H13" s="8"/>
      <x:c r="I13" s="20"/>
      <x:c r="J13" s="20"/>
    </x:row>
    <x:row r="14" ht="23" customHeight="1">
      <x:c r="A14" s="7" t="str">
        <x:v>Bureau expense total</x:v>
      </x:c>
      <x:c r="B14" s="19" t="n">
        <x:f>SUM(B5:B11)</x:f>
        <x:v>723.22</x:v>
      </x:c>
      <x:c r="C14" s="19" t="n">
        <x:f>SUM(C5:C11)</x:f>
        <x:v>796.1700000000001</x:v>
      </x:c>
      <x:c r="D14" s="19" t="n">
        <x:f>D13</x:f>
        <x:v>56</x:v>
      </x:c>
      <x:c r="E14" s="21" t="n">
        <x:f>SUM(E5:E11)</x:f>
        <x:v>339815433</x:v>
      </x:c>
      <x:c r="F14" s="21" t="n">
        <x:f>SUM(F5:F11)</x:f>
        <x:v>385034587</x:v>
      </x:c>
      <x:c r="G14" s="21" t="n">
        <x:f>SUM(G5:G11)</x:f>
        <x:v>45219154.000000015</x:v>
      </x:c>
      <x:c r="H14" s="7"/>
      <x:c r="I14" s="21"/>
      <x:c r="J14" s="21"/>
    </x:row>
  </x:sheetData>
  <x:mergeCells>
    <x:mergeCell ref="A2:J2"/>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42" hidden="0" customWidth="1"/>
    <x:col min="2" max="2" width="24" hidden="0" customWidth="1"/>
    <x:col min="3" max="3" width="23" hidden="0" customWidth="1"/>
    <x:col min="4" max="4" width="20" hidden="0" customWidth="1"/>
    <x:col min="5" max="5" width="23" hidden="0" customWidth="1"/>
    <x:col min="6" max="6" width="14" hidden="0" customWidth="1"/>
    <x:col min="7" max="7" width="42" hidden="0" customWidth="1"/>
  </x:cols>
  <x:sheetData>
    <x:row r="1" ht="32" customHeight="1">
      <x:c r="A1" s="1" t="str">
        <x:v>Budget baseline</x:v>
      </x:c>
    </x:row>
    <x:row r="2" ht="42" customHeight="1">
      <x:c r="A2" s="3" t="str">
        <x:v>FY2026–27 adopted budget, Volume 2. Excludes fund transfers, contingency, debt and unappropriated balance. July 22 supplemental amendment is disclosed, not costed here.</x:v>
      </x:c>
      <x:c r="B2" s="3"/>
      <x:c r="C2" s="3"/>
      <x:c r="D2" s="3"/>
      <x:c r="E2" s="3"/>
      <x:c r="F2" s="3"/>
      <x:c r="G2" s="3"/>
    </x:row>
    <x:row r="4" ht="34" customHeight="1">
      <x:c r="A4" s="6" t="str">
        <x:v>Program</x:v>
      </x:c>
      <x:c r="B4" s="6" t="str">
        <x:v>Bureau expense FY27</x:v>
      </x:c>
      <x:c r="C4" s="6" t="str">
        <x:v>Personnel FY27</x:v>
      </x:c>
      <x:c r="D4" s="6" t="str">
        <x:v>Career FTE FY27</x:v>
      </x:c>
      <x:c r="E4" s="6" t="str">
        <x:v>Other expense</x:v>
      </x:c>
      <x:c r="F4" s="6" t="str">
        <x:v>PDF page</x:v>
      </x:c>
      <x:c r="G4" s="6" t="str">
        <x:v>Treatment</x:v>
      </x:c>
    </x:row>
    <x:row r="5" ht="23" customHeight="1">
      <x:c r="A5" s="8" t="str">
        <x:v>Aquatics</x:v>
      </x:c>
      <x:c r="B5" s="20" t="n">
        <x:v>12115587</x:v>
      </x:c>
      <x:c r="C5" s="20" t="n">
        <x:v>10692446</x:v>
      </x:c>
      <x:c r="D5" s="18" t="n">
        <x:v>34</x:v>
      </x:c>
      <x:c r="E5" s="20" t="n">
        <x:f>B5-C5</x:f>
        <x:v>1423141</x:v>
      </x:c>
      <x:c r="F5" s="8" t="n">
        <x:v>946</x:v>
      </x:c>
      <x:c r="G5" s="8" t="str">
        <x:v>Retained at adopted budget</x:v>
      </x:c>
    </x:row>
    <x:row r="6" ht="23" customHeight="1">
      <x:c r="A6" s="7" t="str">
        <x:v>Arts</x:v>
      </x:c>
      <x:c r="B6" s="21" t="n">
        <x:v>3630455</x:v>
      </x:c>
      <x:c r="C6" s="21" t="n">
        <x:v>2922825</x:v>
      </x:c>
      <x:c r="D6" s="19" t="n">
        <x:v>11.91</x:v>
      </x:c>
      <x:c r="E6" s="21" t="n">
        <x:f>B6-C6</x:f>
        <x:v>707630</x:v>
      </x:c>
      <x:c r="F6" s="7" t="n">
        <x:v>949</x:v>
      </x:c>
      <x:c r="G6" s="7" t="str">
        <x:v>Retained at adopted budget</x:v>
      </x:c>
    </x:row>
    <x:row r="7" ht="23" customHeight="1">
      <x:c r="A7" s="8" t="str">
        <x:v>Asset Management</x:v>
      </x:c>
      <x:c r="B7" s="20" t="n">
        <x:v>1262161</x:v>
      </x:c>
      <x:c r="C7" s="20" t="n">
        <x:v>1137626</x:v>
      </x:c>
      <x:c r="D7" s="18" t="n">
        <x:v>6</x:v>
      </x:c>
      <x:c r="E7" s="20" t="n">
        <x:f>B7-C7</x:f>
        <x:v>124535</x:v>
      </x:c>
      <x:c r="F7" s="8" t="n">
        <x:v>952</x:v>
      </x:c>
      <x:c r="G7" s="8" t="str">
        <x:v>Replaced in planning model</x:v>
      </x:c>
    </x:row>
    <x:row r="8" ht="23" customHeight="1">
      <x:c r="A8" s="7" t="str">
        <x:v>Business Services</x:v>
      </x:c>
      <x:c r="B8" s="21" t="n">
        <x:v>57878640</x:v>
      </x:c>
      <x:c r="C8" s="21" t="n">
        <x:v>16681664</x:v>
      </x:c>
      <x:c r="D8" s="19" t="n">
        <x:v>74.6</x:v>
      </x:c>
      <x:c r="E8" s="21" t="n">
        <x:f>B8-C8</x:f>
        <x:v>41196976</x:v>
      </x:c>
      <x:c r="F8" s="7" t="n">
        <x:v>957</x:v>
      </x:c>
      <x:c r="G8" s="7" t="str">
        <x:v>Retained at adopted budget</x:v>
      </x:c>
    </x:row>
    <x:row r="9" ht="23" customHeight="1">
      <x:c r="A9" s="8" t="str">
        <x:v>Capital Development</x:v>
      </x:c>
      <x:c r="B9" s="20" t="n">
        <x:v>99635318</x:v>
      </x:c>
      <x:c r="C9" s="20" t="n">
        <x:v>5974677</x:v>
      </x:c>
      <x:c r="D9" s="18" t="n">
        <x:v>26.3</x:v>
      </x:c>
      <x:c r="E9" s="20" t="n">
        <x:f>B9-C9</x:f>
        <x:v>93660641</x:v>
      </x:c>
      <x:c r="F9" s="8" t="n">
        <x:v>962</x:v>
      </x:c>
      <x:c r="G9" s="8" t="str">
        <x:v>Replaced in planning model</x:v>
      </x:c>
    </x:row>
    <x:row r="10" ht="23" customHeight="1">
      <x:c r="A10" s="7" t="str">
        <x:v>Community and Socialization</x:v>
      </x:c>
      <x:c r="B10" s="21" t="n">
        <x:v>17406445</x:v>
      </x:c>
      <x:c r="C10" s="21" t="n">
        <x:v>14597501</x:v>
      </x:c>
      <x:c r="D10" s="19" t="n">
        <x:v>59.33</x:v>
      </x:c>
      <x:c r="E10" s="21" t="n">
        <x:f>B10-C10</x:f>
        <x:v>2808944</x:v>
      </x:c>
      <x:c r="F10" s="7" t="n">
        <x:v>966</x:v>
      </x:c>
      <x:c r="G10" s="7" t="str">
        <x:v>Retained at adopted budget</x:v>
      </x:c>
    </x:row>
    <x:row r="11" ht="23" customHeight="1">
      <x:c r="A11" s="8" t="str">
        <x:v>Community Engagement</x:v>
      </x:c>
      <x:c r="B11" s="20" t="n">
        <x:v>5963976</x:v>
      </x:c>
      <x:c r="C11" s="20" t="n">
        <x:v>4210876</x:v>
      </x:c>
      <x:c r="D11" s="18" t="n">
        <x:v>21.5</x:v>
      </x:c>
      <x:c r="E11" s="20" t="n">
        <x:f>B11-C11</x:f>
        <x:v>1753100</x:v>
      </x:c>
      <x:c r="F11" s="8" t="n">
        <x:v>971</x:v>
      </x:c>
      <x:c r="G11" s="8" t="str">
        <x:v>Retained at adopted budget</x:v>
      </x:c>
    </x:row>
    <x:row r="12" ht="23" customHeight="1">
      <x:c r="A12" s="7" t="str">
        <x:v>Facility/Amenity Maint</x:v>
      </x:c>
      <x:c r="B12" s="21" t="n">
        <x:v>19184931</x:v>
      </x:c>
      <x:c r="C12" s="21" t="n">
        <x:v>12414142</x:v>
      </x:c>
      <x:c r="D12" s="19" t="n">
        <x:v>77.75</x:v>
      </x:c>
      <x:c r="E12" s="21" t="n">
        <x:f>B12-C12</x:f>
        <x:v>6770789</x:v>
      </x:c>
      <x:c r="F12" s="7" t="n">
        <x:v>975</x:v>
      </x:c>
      <x:c r="G12" s="7" t="str">
        <x:v>Replaced in planning model</x:v>
      </x:c>
    </x:row>
    <x:row r="13" ht="23" customHeight="1">
      <x:c r="A13" s="8" t="str">
        <x:v>Leadership and Advocacy</x:v>
      </x:c>
      <x:c r="B13" s="20" t="n">
        <x:v>1195169</x:v>
      </x:c>
      <x:c r="C13" s="20" t="n">
        <x:v>1157890</x:v>
      </x:c>
      <x:c r="D13" s="18" t="n">
        <x:v>7</x:v>
      </x:c>
      <x:c r="E13" s="20" t="n">
        <x:f>B13-C13</x:f>
        <x:v>37279</x:v>
      </x:c>
      <x:c r="F13" s="8" t="n">
        <x:v>978</x:v>
      </x:c>
      <x:c r="G13" s="8" t="str">
        <x:v>Retained at adopted budget</x:v>
      </x:c>
    </x:row>
    <x:row r="14" ht="23" customHeight="1">
      <x:c r="A14" s="7" t="str">
        <x:v>Natural Area Maint</x:v>
      </x:c>
      <x:c r="B14" s="21" t="n">
        <x:v>6789489</x:v>
      </x:c>
      <x:c r="C14" s="21" t="n">
        <x:v>5212601</x:v>
      </x:c>
      <x:c r="D14" s="19" t="n">
        <x:v>32.2</x:v>
      </x:c>
      <x:c r="E14" s="21" t="n">
        <x:f>B14-C14</x:f>
        <x:v>1576888</x:v>
      </x:c>
      <x:c r="F14" s="7" t="n">
        <x:v>982</x:v>
      </x:c>
      <x:c r="G14" s="7" t="str">
        <x:v>Replaced in planning model</x:v>
      </x:c>
    </x:row>
    <x:row r="15" ht="23" customHeight="1">
      <x:c r="A15" s="8" t="str">
        <x:v>Parks Maintenance</x:v>
      </x:c>
      <x:c r="B15" s="20" t="n">
        <x:v>30239793</x:v>
      </x:c>
      <x:c r="C15" s="20" t="n">
        <x:v>21805577</x:v>
      </x:c>
      <x:c r="D15" s="18" t="n">
        <x:v>141.3</x:v>
      </x:c>
      <x:c r="E15" s="20" t="n">
        <x:f>B15-C15</x:f>
        <x:v>8434216</x:v>
      </x:c>
      <x:c r="F15" s="8" t="n">
        <x:v>986</x:v>
      </x:c>
      <x:c r="G15" s="8" t="str">
        <x:v>Replaced in planning model</x:v>
      </x:c>
    </x:row>
    <x:row r="16" ht="23" customHeight="1">
      <x:c r="A16" s="7" t="str">
        <x:v>Planning</x:v>
      </x:c>
      <x:c r="B16" s="21" t="n">
        <x:v>1051162</x:v>
      </x:c>
      <x:c r="C16" s="21" t="n">
        <x:v>975997</x:v>
      </x:c>
      <x:c r="D16" s="19" t="n">
        <x:v>4.5</x:v>
      </x:c>
      <x:c r="E16" s="21" t="n">
        <x:f>B16-C16</x:f>
        <x:v>75165</x:v>
      </x:c>
      <x:c r="F16" s="7" t="n">
        <x:v>990</x:v>
      </x:c>
      <x:c r="G16" s="7" t="str">
        <x:v>Replaced in planning model</x:v>
      </x:c>
    </x:row>
    <x:row r="17" ht="23" customHeight="1">
      <x:c r="A17" s="8" t="str">
        <x:v>Property</x:v>
      </x:c>
      <x:c r="B17" s="20" t="n">
        <x:v>1229156</x:v>
      </x:c>
      <x:c r="C17" s="20" t="n">
        <x:v>695717</x:v>
      </x:c>
      <x:c r="D17" s="18" t="n">
        <x:v>4</x:v>
      </x:c>
      <x:c r="E17" s="20" t="n">
        <x:f>B17-C17</x:f>
        <x:v>533439</x:v>
      </x:c>
      <x:c r="F17" s="8" t="n">
        <x:v>993</x:v>
      </x:c>
      <x:c r="G17" s="8" t="str">
        <x:v>Retained at adopted budget</x:v>
      </x:c>
    </x:row>
    <x:row r="18" ht="23" customHeight="1">
      <x:c r="A18" s="7" t="str">
        <x:v>Recreation Facility Operations</x:v>
      </x:c>
      <x:c r="B18" s="21" t="n">
        <x:v>11358612</x:v>
      </x:c>
      <x:c r="C18" s="21" t="n">
        <x:v>8760680</x:v>
      </x:c>
      <x:c r="D18" s="19" t="n">
        <x:v>41.33</x:v>
      </x:c>
      <x:c r="E18" s="21" t="n">
        <x:f>B18-C18</x:f>
        <x:v>2597932</x:v>
      </x:c>
      <x:c r="F18" s="7" t="n">
        <x:v>995</x:v>
      </x:c>
      <x:c r="G18" s="7" t="str">
        <x:v>Retained at adopted budget</x:v>
      </x:c>
    </x:row>
    <x:row r="19" ht="23" customHeight="1">
      <x:c r="A19" s="8" t="str">
        <x:v>Sports and Games</x:v>
      </x:c>
      <x:c r="B19" s="20" t="n">
        <x:v>27227168</x:v>
      </x:c>
      <x:c r="C19" s="20" t="n">
        <x:v>11743444</x:v>
      </x:c>
      <x:c r="D19" s="18" t="n">
        <x:v>49.5</x:v>
      </x:c>
      <x:c r="E19" s="20" t="n">
        <x:f>B19-C19</x:f>
        <x:v>15483724</x:v>
      </x:c>
      <x:c r="F19" s="8" t="n">
        <x:v>1000</x:v>
      </x:c>
      <x:c r="G19" s="8" t="str">
        <x:v>Retained at adopted budget</x:v>
      </x:c>
    </x:row>
    <x:row r="20" ht="23" customHeight="1">
      <x:c r="A20" s="7" t="str">
        <x:v>Tree Maintenance</x:v>
      </x:c>
      <x:c r="B20" s="21" t="n">
        <x:v>32770303</x:v>
      </x:c>
      <x:c r="C20" s="21" t="n">
        <x:v>12650709</x:v>
      </x:c>
      <x:c r="D20" s="19" t="n">
        <x:v>75.34</x:v>
      </x:c>
      <x:c r="E20" s="21" t="n">
        <x:f>B20-C20</x:f>
        <x:v>20119594</x:v>
      </x:c>
      <x:c r="F20" s="7" t="n">
        <x:v>1004</x:v>
      </x:c>
      <x:c r="G20" s="7" t="str">
        <x:v>Retained at adopted budget</x:v>
      </x:c>
    </x:row>
    <x:row r="21" ht="23" customHeight="1">
      <x:c r="A21" s="8" t="str">
        <x:v>Urban Forestry Science and Outreach</x:v>
      </x:c>
      <x:c r="B21" s="20" t="n">
        <x:v>2351649</x:v>
      </x:c>
      <x:c r="C21" s="20" t="n">
        <x:v>2090278</x:v>
      </x:c>
      <x:c r="D21" s="18" t="n">
        <x:v>10.66</x:v>
      </x:c>
      <x:c r="E21" s="20" t="n">
        <x:f>B21-C21</x:f>
        <x:v>261371</x:v>
      </x:c>
      <x:c r="F21" s="8" t="n">
        <x:v>1008</x:v>
      </x:c>
      <x:c r="G21" s="8" t="str">
        <x:v>Retained at adopted budget</x:v>
      </x:c>
    </x:row>
    <x:row r="22" ht="23" customHeight="1">
      <x:c r="A22" s="7" t="str">
        <x:v>Visitor Services</x:v>
      </x:c>
      <x:c r="B22" s="21" t="n">
        <x:v>8575419</x:v>
      </x:c>
      <x:c r="C22" s="21" t="n">
        <x:v>7437041</x:v>
      </x:c>
      <x:c r="D22" s="19" t="n">
        <x:v>46</x:v>
      </x:c>
      <x:c r="E22" s="21" t="n">
        <x:f>B22-C22</x:f>
        <x:v>1138378</x:v>
      </x:c>
      <x:c r="F22" s="7" t="n">
        <x:v>1011</x:v>
      </x:c>
      <x:c r="G22" s="7" t="str">
        <x:v>Replaced in planning model</x:v>
      </x:c>
    </x:row>
    <x:row r="23" ht="23" customHeight="1">
      <x:c r="A23" s="8" t="str">
        <x:v>Tree Regulation residual</x:v>
      </x:c>
      <x:c r="B23" s="20" t="n">
        <x:v>-50000</x:v>
      </x:c>
      <x:c r="C23" s="20" t="n">
        <x:v>0</x:v>
      </x:c>
      <x:c r="D23" s="18" t="n">
        <x:v>0</x:v>
      </x:c>
      <x:c r="E23" s="20" t="n">
        <x:f>B23-C23</x:f>
        <x:v>-50000</x:v>
      </x:c>
      <x:c r="F23" s="8" t="n">
        <x:v>941</x:v>
      </x:c>
      <x:c r="G23" s="8" t="str">
        <x:v>Retained at adopted budget</x:v>
      </x:c>
    </x:row>
    <x:row r="24">
      <x:c r="B24" s="33"/>
      <x:c r="C24" s="33"/>
      <x:c r="D24" s="35"/>
      <x:c r="E24" s="33"/>
    </x:row>
    <x:row r="25">
      <x:c r="A25" t="str">
        <x:v>Bureau expense / authorized career FTE</x:v>
      </x:c>
      <x:c r="B25" s="34" t="n">
        <x:f>SUM(B5:B23)</x:f>
        <x:v>339815433</x:v>
      </x:c>
      <x:c r="C25" s="34" t="n">
        <x:f>SUM(C5:C23)</x:f>
        <x:v>141161691</x:v>
      </x:c>
      <x:c r="D25" s="36" t="n">
        <x:f>SUM(D5:D23)</x:f>
        <x:v>723.22</x:v>
      </x:c>
      <x:c r="E25" s="34" t="n">
        <x:f>SUM(E5:E23)</x:f>
        <x:v>198653742</x:v>
      </x:c>
    </x:row>
    <x:row r="28">
      <x:c r="A28" t="str">
        <x:v>Fund transfers</x:v>
      </x:c>
      <x:c r="B28" s="33" t="n">
        <x:v>93879311</x:v>
      </x:c>
    </x:row>
    <x:row r="29">
      <x:c r="A29" t="str">
        <x:v>Contingency</x:v>
      </x:c>
      <x:c r="B29" s="33" t="n">
        <x:v>59032585</x:v>
      </x:c>
    </x:row>
    <x:row r="30">
      <x:c r="A30" t="str">
        <x:v>Debt</x:v>
      </x:c>
      <x:c r="B30" s="33" t="n">
        <x:v>830312</x:v>
      </x:c>
    </x:row>
    <x:row r="31">
      <x:c r="A31" t="str">
        <x:v>Unappropriated balance</x:v>
      </x:c>
      <x:c r="B31" s="33" t="n">
        <x:v>167225</x:v>
      </x:c>
    </x:row>
    <x:row r="32">
      <x:c r="A32" t="str">
        <x:v>Gross appropriation</x:v>
      </x:c>
      <x:c r="B32" s="34" t="n">
        <x:f>B25+SUM(B28:B31)</x:f>
        <x:v>493724866</x:v>
      </x:c>
    </x:row>
    <x:row r="35">
      <x:c r="A35" t="str">
        <x:v>Source: https://www.portland.gov/budget/2026-2027-budget/documents/fy-26-27-adopted-budget-book-volume-2/download</x:v>
      </x:c>
    </x:row>
    <x:row r="37">
      <x:c r="A37" t="str">
        <x:v>July amendment restored an East Portland engagement specialist. Adopted table is not a certified current amended ledger.</x:v>
      </x:c>
    </x:row>
  </x:sheetData>
  <x:mergeCells>
    <x:mergeCell ref="A2:G2"/>
  </x:mergeCells>
  <x:pageMargins left="0.7" right="0.7" top="0.75" bottom="0.75" header="0.3" footer="0.3"/>
  <x:tableParts count="1">
    <x:tablePart xmlns:r="http://schemas.openxmlformats.org/officeDocument/2006/relationships" r:id="R7b4570aade7e49c9"/>
  </x:tableParts>
</x:worksheet>
</file>

<file path=xl/worksheets/sheet7.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51" hidden="0" customWidth="1"/>
    <x:col min="2" max="2" width="26" hidden="0" customWidth="1"/>
    <x:col min="3" max="3" width="24" hidden="0" customWidth="1"/>
    <x:col min="4" max="4" width="29" hidden="0" customWidth="1"/>
    <x:col min="5" max="5" width="100" hidden="0" customWidth="1"/>
  </x:cols>
  <x:sheetData>
    <x:row r="1" ht="32" customHeight="1">
      <x:c r="A1" s="1" t="str">
        <x:v>Capital</x:v>
      </x:c>
    </x:row>
    <x:row r="2" ht="42" customHeight="1">
      <x:c r="A2" s="3" t="str">
        <x:v>Planning cost provision, not an approved funding plan. Existing renewal and backlog are not yet reconciled asset by asset. No 25% overlap credit or new contingency is assumed.</x:v>
      </x:c>
      <x:c r="B2" s="3"/>
      <x:c r="C2" s="3"/>
      <x:c r="D2" s="3"/>
      <x:c r="E2" s="3"/>
    </x:row>
    <x:row r="4" ht="34" customHeight="1">
      <x:c r="A4" s="6" t="str">
        <x:v>Renewable asset class / assumption</x:v>
      </x:c>
      <x:c r="B4" s="6" t="str">
        <x:v>2024 replacement value</x:v>
      </x:c>
      <x:c r="C4" s="6" t="str">
        <x:v>Annual renewal rate</x:v>
      </x:c>
      <x:c r="D4" s="6" t="str">
        <x:v>Annual provision, 2026 $</x:v>
      </x:c>
      <x:c r="E4" s="6" t="str">
        <x:v>Basis</x:v>
      </x:c>
    </x:row>
    <x:row r="5" ht="31" customHeight="1">
      <x:c r="A5" s="8" t="str">
        <x:v>Amenities</x:v>
      </x:c>
      <x:c r="B5" s="39" t="n">
        <x:v>139000000</x:v>
      </x:c>
      <x:c r="C5" s="40" t="n">
        <x:v>0.04</x:v>
      </x:c>
      <x:c r="D5" s="20" t="n">
        <x:f>B5*(1+$B$10)^$B$11*C5</x:f>
        <x:v>6013696.000000001</x:v>
      </x:c>
      <x:c r="E5" s="11" t="str">
        <x:v>2024 Citywide Assets Report p.20; annual rate is model assumption, not City commitment.</x:v>
      </x:c>
    </x:row>
    <x:row r="6" ht="31" customHeight="1">
      <x:c r="A6" s="7" t="str">
        <x:v>Buildings and pools</x:v>
      </x:c>
      <x:c r="B6" s="41" t="n">
        <x:v>967000000</x:v>
      </x:c>
      <x:c r="C6" s="42" t="n">
        <x:v>0.025</x:v>
      </x:c>
      <x:c r="D6" s="21" t="n">
        <x:f>B6*(1+$B$10)^$B$11*C6</x:f>
        <x:v>26147680.000000004</x:v>
      </x:c>
      <x:c r="E6" s="12" t="str">
        <x:v>2024 Citywide Assets Report p.20; annual rate is model assumption, not City commitment.</x:v>
      </x:c>
    </x:row>
    <x:row r="7" ht="31" customHeight="1">
      <x:c r="A7" s="8" t="str">
        <x:v>Recreation features</x:v>
      </x:c>
      <x:c r="B7" s="39" t="n">
        <x:v>615000000</x:v>
      </x:c>
      <x:c r="C7" s="40" t="n">
        <x:v>0.03</x:v>
      </x:c>
      <x:c r="D7" s="20" t="n">
        <x:f>B7*(1+$B$10)^$B$11*C7</x:f>
        <x:v>19955520.000000004</x:v>
      </x:c>
      <x:c r="E7" s="11" t="str">
        <x:v>2024 Citywide Assets Report p.20; annual rate is model assumption, not City commitment.</x:v>
      </x:c>
    </x:row>
    <x:row r="8" ht="31" customHeight="1">
      <x:c r="A8" s="7" t="str">
        <x:v>Built infrastructure</x:v>
      </x:c>
      <x:c r="B8" s="41" t="n">
        <x:v>705000000</x:v>
      </x:c>
      <x:c r="C8" s="42" t="n">
        <x:v>0.02</x:v>
      </x:c>
      <x:c r="D8" s="21" t="n">
        <x:f>B8*(1+$B$10)^$B$11*C8</x:f>
        <x:v>15250560.000000002</x:v>
      </x:c>
      <x:c r="E8" s="12" t="str">
        <x:v>2024 Citywide Assets Report p.20; annual rate is model assumption, not City commitment.</x:v>
      </x:c>
    </x:row>
    <x:row r="9" ht="31" customHeight="1">
      <x:c r="A9" s="8"/>
      <x:c r="B9" s="9"/>
      <x:c r="C9" s="9"/>
      <x:c r="D9" s="20"/>
      <x:c r="E9" s="11"/>
    </x:row>
    <x:row r="10" ht="31" customHeight="1">
      <x:c r="A10" s="7" t="str">
        <x:v>Annual construction-cost escalation assumption</x:v>
      </x:c>
      <x:c r="B10" s="43" t="n">
        <x:v>0.04</x:v>
      </x:c>
      <x:c r="C10" s="10"/>
      <x:c r="D10" s="21"/>
      <x:c r="E10" s="12"/>
    </x:row>
    <x:row r="11" ht="31" customHeight="1">
      <x:c r="A11" s="8" t="str">
        <x:v>Years from valuation to planning basis</x:v>
      </x:c>
      <x:c r="B11" s="9" t="n">
        <x:v>2</x:v>
      </x:c>
      <x:c r="C11" s="9"/>
      <x:c r="D11" s="20"/>
      <x:c r="E11" s="11"/>
    </x:row>
    <x:row r="12" ht="31" customHeight="1">
      <x:c r="A12" s="7"/>
      <x:c r="B12" s="10"/>
      <x:c r="C12" s="10"/>
      <x:c r="D12" s="21"/>
      <x:c r="E12" s="12"/>
    </x:row>
    <x:row r="13" ht="31" customHeight="1">
      <x:c r="A13" s="8" t="str">
        <x:v>Steady-state renewal provision</x:v>
      </x:c>
      <x:c r="B13" s="9"/>
      <x:c r="C13" s="9"/>
      <x:c r="D13" s="20" t="n">
        <x:f>SUM(D5:D8)</x:f>
        <x:v>67367456.00000001</x:v>
      </x:c>
      <x:c r="E13" s="11"/>
    </x:row>
    <x:row r="14" ht="31" customHeight="1">
      <x:c r="A14" s="7"/>
      <x:c r="B14" s="10"/>
      <x:c r="C14" s="10"/>
      <x:c r="D14" s="21"/>
      <x:c r="E14" s="12"/>
    </x:row>
    <x:row r="15" ht="31" customHeight="1">
      <x:c r="A15" s="8" t="str">
        <x:v>Reported unfunded capital maintenance</x:v>
      </x:c>
      <x:c r="B15" s="39" t="n">
        <x:v>759000000</x:v>
      </x:c>
      <x:c r="C15" s="9"/>
      <x:c r="D15" s="20"/>
      <x:c r="E15" s="11" t="str">
        <x:v>City Sustainable Future: $759m as of August 2026. A stock estimate; scope and embedded contingency require reconciliation. https://www.portland.gov/parks/sustainable-future</x:v>
      </x:c>
    </x:row>
    <x:row r="16" ht="31" customHeight="1">
      <x:c r="A16" s="7" t="str">
        <x:v>Catch-up horizon</x:v>
      </x:c>
      <x:c r="B16" s="10" t="n">
        <x:v>15</x:v>
      </x:c>
      <x:c r="C16" s="10"/>
      <x:c r="D16" s="21"/>
      <x:c r="E16" s="12"/>
    </x:row>
    <x:row r="17" ht="31" customHeight="1">
      <x:c r="A17" s="8" t="str">
        <x:v>Annual gross backlog provision</x:v>
      </x:c>
      <x:c r="B17" s="9"/>
      <x:c r="C17" s="9"/>
      <x:c r="D17" s="20" t="n">
        <x:f>B15/B16</x:f>
        <x:v>50600000</x:v>
      </x:c>
      <x:c r="E17" s="11"/>
    </x:row>
    <x:row r="18" ht="31" customHeight="1">
      <x:c r="A18" s="7" t="str">
        <x:v>Overlap credit as share of backlog installment</x:v>
      </x:c>
      <x:c r="B18" s="43" t="n">
        <x:v>0</x:v>
      </x:c>
      <x:c r="C18" s="10"/>
      <x:c r="D18" s="21" t="n">
        <x:f>D17*B18</x:f>
        <x:v>0</x:v>
      </x:c>
      <x:c r="E18" s="12" t="str">
        <x:v>No unverified overlap deduction booked. Zero credit is a conservative costing convention, NOT evidence that scopes do not overlap. Reconcile assets before funding.</x:v>
      </x:c>
    </x:row>
    <x:row r="19" ht="31" customHeight="1">
      <x:c r="A19" s="8" t="str">
        <x:v>Net catch-up beyond routine renewal</x:v>
      </x:c>
      <x:c r="B19" s="9"/>
      <x:c r="C19" s="9"/>
      <x:c r="D19" s="20" t="n">
        <x:f>D17-D18</x:f>
        <x:v>50600000</x:v>
      </x:c>
      <x:c r="E19" s="11"/>
    </x:row>
    <x:row r="20" ht="31" customHeight="1">
      <x:c r="A20" s="7" t="str">
        <x:v>New access / targeted growth provision</x:v>
      </x:c>
      <x:c r="B20" s="41" t="n">
        <x:v>10000000</x:v>
      </x:c>
      <x:c r="C20" s="10"/>
      <x:c r="D20" s="21" t="n">
        <x:f>B20</x:f>
        <x:v>10000000</x:v>
      </x:c>
      <x:c r="E20" s="12" t="str">
        <x:v>Uncosted $10m annual planning allowance for access/growth. Split ADA repair from new capacity before selecting a lawful fund; do not treat all as SDC-eligible.</x:v>
      </x:c>
    </x:row>
    <x:row r="21" ht="31" customHeight="1">
      <x:c r="A21" s="8"/>
      <x:c r="B21" s="8"/>
      <x:c r="C21" s="8"/>
      <x:c r="D21" s="20"/>
      <x:c r="E21" s="11"/>
    </x:row>
    <x:row r="22" ht="31" customHeight="1">
      <x:c r="A22" s="7" t="str">
        <x:v>Annual capital envelope</x:v>
      </x:c>
      <x:c r="B22" s="7"/>
      <x:c r="C22" s="7"/>
      <x:c r="D22" s="21" t="n">
        <x:f>D13+D19+D20</x:f>
        <x:v>127967456.00000001</x:v>
      </x:c>
      <x:c r="E22" s="12"/>
    </x:row>
    <x:row r="23" ht="31" customHeight="1">
      <x:c r="A23" s="8" t="str">
        <x:v>Capital staff cost inside envelope</x:v>
      </x:c>
      <x:c r="B23" s="8"/>
      <x:c r="C23" s="8"/>
      <x:c r="D23" s="25" t="n">
        <x:f>'Service inputs'!$B$40*'Service inputs'!$B$16</x:f>
        <x:v>6080000</x:v>
      </x:c>
      <x:c r="E23" s="11"/>
    </x:row>
    <x:row r="24" ht="31" customHeight="1">
      <x:c r="A24" s="7" t="str">
        <x:v>Remaining project delivery envelope</x:v>
      </x:c>
      <x:c r="B24" s="7"/>
      <x:c r="C24" s="7"/>
      <x:c r="D24" s="21" t="n">
        <x:f>D22-D23</x:f>
        <x:v>121887456.00000001</x:v>
      </x:c>
      <x:c r="E24" s="12"/>
    </x:row>
    <x:row r="25" ht="31" customHeight="1">
      <x:c r="A25" s="8" t="str">
        <x:v>First-year transition, separate one-time cost</x:v>
      </x:c>
      <x:c r="B25" s="8"/>
      <x:c r="C25" s="8"/>
      <x:c r="D25" s="25" t="n">
        <x:f>'Service inputs'!$B$59</x:f>
        <x:v>3000000</x:v>
      </x:c>
      <x:c r="E25" s="11"/>
    </x:row>
    <x:row r="28">
      <x:c r="A28" t="str">
        <x:v>Source: https://www.portland.gov/budget/performance/documents/2024-citywide-assets-report/download</x:v>
      </x:c>
    </x:row>
    <x:row r="29">
      <x:c r="A29" t="str">
        <x:v>Benchmark: Council cites about $60m/year; bureau scorecard target is 3% of asset value. This model uses class rates and a different price basis.</x:v>
      </x:c>
    </x:row>
    <x:row r="30">
      <x:c r="A30" t="str">
        <x:v>Reserve and overlap are separate: contingency covers cost uncertainty; overlap removes duplicate scope. Apply both only after checking embedded allowances.</x:v>
      </x:c>
    </x:row>
  </x:sheetData>
  <x:mergeCells>
    <x:mergeCell ref="A2:E2"/>
  </x:mergeCells>
  <x:pageMargins left="0.7" right="0.7" top="0.75" bottom="0.75" header="0.3" footer="0.3"/>
</x:worksheet>
</file>

<file path=xl/worksheets/sheet8.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2" hidden="0" customWidth="1"/>
    <x:col min="2" max="2" width="38" hidden="0" customWidth="1"/>
    <x:col min="3" max="3" width="54" hidden="0" customWidth="1"/>
    <x:col min="4" max="4" width="40" hidden="0" customWidth="1"/>
    <x:col min="5" max="5" width="90" hidden="0" customWidth="1"/>
    <x:col min="6" max="6" width="24" hidden="0" customWidth="1"/>
    <x:col min="7" max="7" width="32" hidden="0" customWidth="1"/>
    <x:col min="8" max="8" width="70" hidden="0" customWidth="1"/>
    <x:col min="9" max="9" width="70" hidden="0" customWidth="1"/>
  </x:cols>
  <x:sheetData>
    <x:row r="1" ht="32" customHeight="1">
      <x:c r="A1" s="1" t="str">
        <x:v>Historic repairs</x:v>
      </x:c>
    </x:row>
    <x:row r="2" ht="42" customHeight="1">
      <x:c r="A2" s="3" t="str">
        <x:v>All 1,195 rows from the Atlas KGW November 2023 export. $615.7m is a historical table total, not current unfunded need. Keyword categories are analytical labels; scopes may overlap.</x:v>
      </x:c>
      <x:c r="B2" s="3"/>
      <x:c r="C2" s="3"/>
      <x:c r="D2" s="3"/>
      <x:c r="E2" s="3"/>
      <x:c r="F2" s="3"/>
      <x:c r="G2" s="3"/>
      <x:c r="H2" s="3"/>
      <x:c r="I2" s="3"/>
    </x:row>
    <x:row r="4" ht="34" customHeight="1">
      <x:c r="A4" s="6" t="str">
        <x:v>Source row</x:v>
      </x:c>
      <x:c r="B4" s="6" t="str">
        <x:v>Property</x:v>
      </x:c>
      <x:c r="C4" s="6" t="str">
        <x:v>Project</x:v>
      </x:c>
      <x:c r="D4" s="6" t="str">
        <x:v>Building / asset</x:v>
      </x:c>
      <x:c r="E4" s="6" t="str">
        <x:v>Description</x:v>
      </x:c>
      <x:c r="F4" s="6" t="str">
        <x:v>Historical estimate $</x:v>
      </x:c>
      <x:c r="G4" s="6" t="str">
        <x:v>Keyword category</x:v>
      </x:c>
      <x:c r="H4" s="6" t="str">
        <x:v>Period / limitation</x:v>
      </x:c>
      <x:c r="I4" s="6" t="str">
        <x:v>Source</x:v>
      </x:c>
    </x:row>
    <x:row r="5" ht="46" customHeight="1">
      <x:c r="A5" s="8" t="n">
        <x:v>1</x:v>
      </x:c>
      <x:c r="B5" s="11" t="str">
        <x:v>A Park</x:v>
      </x:c>
      <x:c r="C5" s="11" t="str">
        <x:v>Renovate sport field</x:v>
      </x:c>
      <x:c r="D5" s="11" t="str">
        <x:v>Ball Field 1</x:v>
      </x:c>
      <x:c r="E5" s="11" t="str">
        <x:v>Sport fields rated 4 or 5 in condition assessment</x:v>
      </x:c>
      <x:c r="F5" s="20" t="n">
        <x:v>264467</x:v>
      </x:c>
      <x:c r="G5" s="8" t="str">
        <x:v>Fields / courts / play</x:v>
      </x:c>
      <x:c r="H5" s="8" t="str">
        <x:v>KGW November 2023 report; estimate dates not supplied</x:v>
      </x:c>
      <x:c r="I5" s="8" t="str">
        <x:v>https://flo.uri.sh/visualisation/15494950/embed</x:v>
      </x:c>
    </x:row>
    <x:row r="6" ht="46" customHeight="1">
      <x:c r="A6" s="7" t="n">
        <x:v>2</x:v>
      </x:c>
      <x:c r="B6" s="12" t="str">
        <x:v>A Park</x:v>
      </x:c>
      <x:c r="C6" s="12" t="str">
        <x:v>Wildwood Playground Equipment Replacement (2 struc</x:v>
      </x:c>
      <x:c r="D6" s="12" t="str">
        <x:v>Restroom</x:v>
      </x:c>
      <x:c r="E6" s="12" t="str">
        <x:v>Removal and replacement of existing Wildwood play structures.  Wildwood play equipment is no longer manufactured.  Structures have outlived their useful life.  Expand footprint of play area, make ADA accessible.  Also remove whirly due to lead base.  Note that these improvements could trigger the requirement to bring other aspects of the park up to ADA.</x:v>
      </x:c>
      <x:c r="F6" s="21" t="n">
        <x:v>216786</x:v>
      </x:c>
      <x:c r="G6" s="7" t="str">
        <x:v>Paths / access / bridges</x:v>
      </x:c>
      <x:c r="H6" s="7" t="str">
        <x:v>KGW November 2023 report; estimate dates not supplied</x:v>
      </x:c>
      <x:c r="I6" s="7" t="str">
        <x:v>https://flo.uri.sh/visualisation/15494950/embed</x:v>
      </x:c>
    </x:row>
    <x:row r="7" ht="46" customHeight="1">
      <x:c r="A7" s="8" t="n">
        <x:v>3</x:v>
      </x:c>
      <x:c r="B7" s="11" t="str">
        <x:v>A Park</x:v>
      </x:c>
      <x:c r="C7" s="11" t="str">
        <x:v>Renovate restroom</x:v>
      </x:c>
      <x:c r="D7" s="11" t="str">
        <x:v>Restroom A</x:v>
      </x:c>
      <x:c r="E7" s="11" t="str">
        <x:v>Renovate buildings rate 4 or 5 in condition assessment</x:v>
      </x:c>
      <x:c r="F7" s="20" t="n">
        <x:v>141727</x:v>
      </x:c>
      <x:c r="G7" s="8" t="str">
        <x:v>Buildings / building systems</x:v>
      </x:c>
      <x:c r="H7" s="8" t="str">
        <x:v>KGW November 2023 report; estimate dates not supplied</x:v>
      </x:c>
      <x:c r="I7" s="8" t="str">
        <x:v>https://flo.uri.sh/visualisation/15494950/embed</x:v>
      </x:c>
    </x:row>
    <x:row r="8" ht="46" customHeight="1">
      <x:c r="A8" s="7" t="n">
        <x:v>4</x:v>
      </x:c>
      <x:c r="B8" s="12" t="str">
        <x:v>A Park</x:v>
      </x:c>
      <x:c r="C8" s="12" t="str">
        <x:v>ESPC-III_Buildings Lighting to LEDs</x:v>
      </x:c>
      <x:c r="D8" s="12" t="str">
        <x:v>Restroom - Storage</x:v>
      </x:c>
      <x:c r="E8" s="12" t="str">
        <x:v>LED conversion for Exterior and Interior Lights</x:v>
      </x:c>
      <x:c r="F8" s="21" t="n">
        <x:v>11760</x:v>
      </x:c>
      <x:c r="G8" s="7" t="str">
        <x:v>Buildings / building systems</x:v>
      </x:c>
      <x:c r="H8" s="7" t="str">
        <x:v>KGW November 2023 report; estimate dates not supplied</x:v>
      </x:c>
      <x:c r="I8" s="7" t="str">
        <x:v>https://flo.uri.sh/visualisation/15494950/embed</x:v>
      </x:c>
    </x:row>
    <x:row r="9" ht="46" customHeight="1">
      <x:c r="A9" s="8" t="n">
        <x:v>5</x:v>
      </x:c>
      <x:c r="B9" s="11" t="str">
        <x:v>Albert Kelly Park</x:v>
      </x:c>
      <x:c r="C9" s="11" t="str">
        <x:v>Sports Field Improvements</x:v>
      </x:c>
      <x:c r="D9" s="11" t="str">
        <x:v>Albert Kelly Park</x:v>
      </x:c>
      <x:c r="E9" s="11" t="str">
        <x:v>Improve ADA access to sports field.  Improve soccer fields and add irrigation.  Replaces 1949A (projects broken out.)</x:v>
      </x:c>
      <x:c r="F9" s="20" t="n">
        <x:v>93233</x:v>
      </x:c>
      <x:c r="G9" s="8" t="str">
        <x:v>Paths / access / bridges</x:v>
      </x:c>
      <x:c r="H9" s="8" t="str">
        <x:v>KGW November 2023 report; estimate dates not supplied</x:v>
      </x:c>
      <x:c r="I9" s="8" t="str">
        <x:v>https://flo.uri.sh/visualisation/15494950/embed</x:v>
      </x:c>
    </x:row>
    <x:row r="10" ht="46" customHeight="1">
      <x:c r="A10" s="7" t="n">
        <x:v>6</x:v>
      </x:c>
      <x:c r="B10" s="12" t="str">
        <x:v>Albert Kelly Park</x:v>
      </x:c>
      <x:c r="C10" s="12" t="str">
        <x:v>Bridge Replacement</x:v>
      </x:c>
      <x:c r="D10" s="12" t="str">
        <x:v>Albert Kelly Park</x:v>
      </x:c>
      <x:c r="E10" s="12" t="str">
        <x:v>Natural Area: Trail renovation at bridge area, bridge replacement with a longer spanning wooden bridge (approx 30-40') to move the bridge ends further from the creek, removal of an existing culvert currently in the stream under the bridge.</x:v>
      </x:c>
      <x:c r="F10" s="21" t="n">
        <x:v>817755</x:v>
      </x:c>
      <x:c r="G10" s="7" t="str">
        <x:v>Paths / access / bridges</x:v>
      </x:c>
      <x:c r="H10" s="7" t="str">
        <x:v>KGW November 2023 report; estimate dates not supplied</x:v>
      </x:c>
      <x:c r="I10" s="7" t="str">
        <x:v>https://flo.uri.sh/visualisation/15494950/embed</x:v>
      </x:c>
    </x:row>
    <x:row r="11" ht="46" customHeight="1">
      <x:c r="A11" s="8" t="n">
        <x:v>7</x:v>
      </x:c>
      <x:c r="B11" s="11" t="str">
        <x:v>Albert Kelly Park</x:v>
      </x:c>
      <x:c r="C11" s="11" t="str">
        <x:v>Evaluate and repair land slide stabilization</x:v>
      </x:c>
      <x:c r="D11" s="11" t="str">
        <x:v>Albert Kelly Park</x:v>
      </x:c>
      <x:c r="E11" s="11" t="str">
        <x:v>SE Kelly Park land slide stabilization</x:v>
      </x:c>
      <x:c r="F11" s="20" t="n">
        <x:v>59967</x:v>
      </x:c>
      <x:c r="G11" s="8" t="str">
        <x:v>Other site infrastructure</x:v>
      </x:c>
      <x:c r="H11" s="8" t="str">
        <x:v>KGW November 2023 report; estimate dates not supplied</x:v>
      </x:c>
      <x:c r="I11" s="8" t="str">
        <x:v>https://flo.uri.sh/visualisation/15494950/embed</x:v>
      </x:c>
    </x:row>
    <x:row r="12" ht="46" customHeight="1">
      <x:c r="A12" s="7" t="n">
        <x:v>8</x:v>
      </x:c>
      <x:c r="B12" s="12" t="str">
        <x:v>Albert Kelly Park</x:v>
      </x:c>
      <x:c r="C12" s="12" t="str">
        <x:v>Renovate and add irrigation</x:v>
      </x:c>
      <x:c r="D12" s="12" t="str"/>
      <x:c r="E12" s="12" t="str">
        <x:v>-Renovate and improve; new paths, improved fields, add irrigation
-Build new paths to connect activity areas, install curb cuts; improve ADA access to sports field. Improve soccer fields and add irrigation.</x:v>
      </x:c>
      <x:c r="F12" s="21" t="n">
        <x:v>539826</x:v>
      </x:c>
      <x:c r="G12" s="7" t="str">
        <x:v>Paths / access / bridges</x:v>
      </x:c>
      <x:c r="H12" s="7" t="str">
        <x:v>KGW November 2023 report; estimate dates not supplied</x:v>
      </x:c>
      <x:c r="I12" s="7" t="str">
        <x:v>https://flo.uri.sh/visualisation/15494950/embed</x:v>
      </x:c>
    </x:row>
    <x:row r="13" ht="46" customHeight="1">
      <x:c r="A13" s="8" t="n">
        <x:v>9</x:v>
      </x:c>
      <x:c r="B13" s="11" t="str">
        <x:v>Albert Kelly Park</x:v>
      </x:c>
      <x:c r="C13" s="11" t="str">
        <x:v>Rain Waterflow into neighbors properties</x:v>
      </x:c>
      <x:c r="D13" s="11" t="str">
        <x:v>Albert Kelly Park</x:v>
      </x:c>
      <x:c r="E13" s="11" t="str">
        <x:v>Problem: Rain Waterflow into the properties of neighbors in west side of the park.
Solution: install a runoff diversion soil berm along the fence line on the west side of the park. The length of the soil berm line is about 360 ft. The height of the berm is 12 in and the width is 20-24 in.
For more detail contact Faiz Al Dulaimi</x:v>
      </x:c>
      <x:c r="F13" s="20" t="n">
        <x:v>35281</x:v>
      </x:c>
      <x:c r="G13" s="8" t="str">
        <x:v>Utilities / lighting / drainage</x:v>
      </x:c>
      <x:c r="H13" s="8" t="str">
        <x:v>KGW November 2023 report; estimate dates not supplied</x:v>
      </x:c>
      <x:c r="I13" s="8" t="str">
        <x:v>https://flo.uri.sh/visualisation/15494950/embed</x:v>
      </x:c>
    </x:row>
    <x:row r="14" ht="46" customHeight="1">
      <x:c r="A14" s="7" t="n">
        <x:v>10</x:v>
      </x:c>
      <x:c r="B14" s="12" t="str">
        <x:v>Albert Kelly Park</x:v>
      </x:c>
      <x:c r="C14" s="12" t="str">
        <x:v>Playground Swingset Replacement (includes ADA Swin</x:v>
      </x:c>
      <x:c r="D14" s="12" t="str">
        <x:v>Albert Kelly Park</x:v>
      </x:c>
      <x:c r="E14" s="12" t="str">
        <x:v>Replace older swing sets at several parks.  Includes adding ADA swing set, improved ADA access, proper footprint sizing.  These swing sets are deteriorating and are beyond their useful life.Note that these improvements could trigger the requirement to bring other aspects of the park up to ADA.</x:v>
      </x:c>
      <x:c r="F14" s="21" t="n">
        <x:v>20845</x:v>
      </x:c>
      <x:c r="G14" s="7" t="str">
        <x:v>Paths / access / bridges</x:v>
      </x:c>
      <x:c r="H14" s="7" t="str">
        <x:v>KGW November 2023 report; estimate dates not supplied</x:v>
      </x:c>
      <x:c r="I14" s="7" t="str">
        <x:v>https://flo.uri.sh/visualisation/15494950/embed</x:v>
      </x:c>
    </x:row>
    <x:row r="15" ht="46" customHeight="1">
      <x:c r="A15" s="8" t="n">
        <x:v>11</x:v>
      </x:c>
      <x:c r="B15" s="11" t="str">
        <x:v>Alberta Park</x:v>
      </x:c>
      <x:c r="C15" s="11" t="str">
        <x:v>Pathway Renovation</x:v>
      </x:c>
      <x:c r="D15" s="11" t="str">
        <x:v>Internal Pathway/ Sidewalk</x:v>
      </x:c>
      <x:c r="E15" s="11" t="str">
        <x:v>Replace the damaged pathway, trails and sidewalks that have been rated as 4 and 5 in Pathway assessment</x:v>
      </x:c>
      <x:c r="F15" s="20" t="n">
        <x:v>94207</x:v>
      </x:c>
      <x:c r="G15" s="8" t="str">
        <x:v>Paths / access / bridges</x:v>
      </x:c>
      <x:c r="H15" s="8" t="str">
        <x:v>KGW November 2023 report; estimate dates not supplied</x:v>
      </x:c>
      <x:c r="I15" s="8" t="str">
        <x:v>https://flo.uri.sh/visualisation/15494950/embed</x:v>
      </x:c>
    </x:row>
    <x:row r="16" ht="46" customHeight="1">
      <x:c r="A16" s="7" t="n">
        <x:v>12</x:v>
      </x:c>
      <x:c r="B16" s="12" t="str">
        <x:v>Alberta Park</x:v>
      </x:c>
      <x:c r="C16" s="12" t="str">
        <x:v>Improve Fulton Community Garden</x:v>
      </x:c>
      <x:c r="D16" s="12" t="str">
        <x:v>Fulton Community Garden &amp; Display Garden</x:v>
      </x:c>
      <x:c r="E16" s="12" t="str">
        <x:v>Install a 5' chain link fence around the garden and upgrade the irrigation system.</x:v>
      </x:c>
      <x:c r="F16" s="21" t="n">
        <x:v>55030</x:v>
      </x:c>
      <x:c r="G16" s="7" t="str">
        <x:v>Utilities / lighting / drainage</x:v>
      </x:c>
      <x:c r="H16" s="7" t="str">
        <x:v>KGW November 2023 report; estimate dates not supplied</x:v>
      </x:c>
      <x:c r="I16" s="7" t="str">
        <x:v>https://flo.uri.sh/visualisation/15494950/embed</x:v>
      </x:c>
    </x:row>
    <x:row r="17" ht="46" customHeight="1">
      <x:c r="A17" s="8" t="n">
        <x:v>13</x:v>
      </x:c>
      <x:c r="B17" s="11" t="str">
        <x:v>Alberta Park</x:v>
      </x:c>
      <x:c r="C17" s="11" t="str">
        <x:v>Remove and Replace Playground Equipment</x:v>
      </x:c>
      <x:c r="D17" s="11" t="str">
        <x:v>Alberta Park</x:v>
      </x:c>
      <x:c r="E17" s="11" t="str">
        <x:v>- Remove an replace old tire swing and wooden play structure.  Consolidate play area, add sizeable free play area per Technical Paper. 
 - Repalce Footprint, Sets were improperly installed on turf with exposed concrete footings close to the fall zone. Temporary removal, excavation, drainage, fabric, rock, chips &amp; replacement of existing swing sets. 
- Note that these improvements could trigger the requirement to bring other aspects of the park up to ADA.</x:v>
      </x:c>
      <x:c r="F17" s="20" t="n">
        <x:v>516205</x:v>
      </x:c>
      <x:c r="G17" s="8" t="str">
        <x:v>Paths / access / bridges</x:v>
      </x:c>
      <x:c r="H17" s="8" t="str">
        <x:v>KGW November 2023 report; estimate dates not supplied</x:v>
      </x:c>
      <x:c r="I17" s="8" t="str">
        <x:v>https://flo.uri.sh/visualisation/15494950/embed</x:v>
      </x:c>
    </x:row>
    <x:row r="18" ht="46" customHeight="1">
      <x:c r="A18" s="7" t="n">
        <x:v>14</x:v>
      </x:c>
      <x:c r="B18" s="12" t="str">
        <x:v>Alberta Park</x:v>
      </x:c>
      <x:c r="C18" s="12" t="str">
        <x:v>Restroom Upgrades</x:v>
      </x:c>
      <x:c r="D18" s="12" t="str">
        <x:v>Alberta Park</x:v>
      </x:c>
      <x:c r="E18" s="12" t="str">
        <x:v>Renovate east and west restrooms in Alberta Park.  West needs new roof, fixtures, general repair.  East needs roof repair, fixtures.  Replaces CIP 2286, projects were split out.  Include new gutters, downspouts.</x:v>
      </x:c>
      <x:c r="F18" s="21" t="n">
        <x:v>211467</x:v>
      </x:c>
      <x:c r="G18" s="7" t="str">
        <x:v>Buildings / building systems</x:v>
      </x:c>
      <x:c r="H18" s="7" t="str">
        <x:v>KGW November 2023 report; estimate dates not supplied</x:v>
      </x:c>
      <x:c r="I18" s="7" t="str">
        <x:v>https://flo.uri.sh/visualisation/15494950/embed</x:v>
      </x:c>
    </x:row>
    <x:row r="19" ht="46" customHeight="1">
      <x:c r="A19" s="8" t="n">
        <x:v>15</x:v>
      </x:c>
      <x:c r="B19" s="11" t="str">
        <x:v>Alberta Park</x:v>
      </x:c>
      <x:c r="C19" s="11" t="str">
        <x:v>Replace the roof</x:v>
      </x:c>
      <x:c r="D19" s="11" t="str">
        <x:v>Fulton Park Community Center</x:v>
      </x:c>
      <x:c r="E19" s="11" t="str">
        <x:v>Replace deteriorating roof of the CC</x:v>
      </x:c>
      <x:c r="F19" s="20" t="n">
        <x:v>143920</x:v>
      </x:c>
      <x:c r="G19" s="8" t="str">
        <x:v>Buildings / building systems</x:v>
      </x:c>
      <x:c r="H19" s="8" t="str">
        <x:v>KGW November 2023 report; estimate dates not supplied</x:v>
      </x:c>
      <x:c r="I19" s="8" t="str">
        <x:v>https://flo.uri.sh/visualisation/15494950/embed</x:v>
      </x:c>
    </x:row>
    <x:row r="20" ht="46" customHeight="1">
      <x:c r="A20" s="7" t="n">
        <x:v>16</x:v>
      </x:c>
      <x:c r="B20" s="12" t="str">
        <x:v>Alberta Park</x:v>
      </x:c>
      <x:c r="C20" s="12" t="str">
        <x:v>ESPC-III_Buildings Lighting to LEDs</x:v>
      </x:c>
      <x:c r="D20" s="12" t="str">
        <x:v>Restroom - Storage</x:v>
      </x:c>
      <x:c r="E20" s="12" t="str">
        <x:v>LED conversion for Exterior and Interior Lights</x:v>
      </x:c>
      <x:c r="F20" s="21" t="n">
        <x:v>11760</x:v>
      </x:c>
      <x:c r="G20" s="7" t="str">
        <x:v>Buildings / building systems</x:v>
      </x:c>
      <x:c r="H20" s="7" t="str">
        <x:v>KGW November 2023 report; estimate dates not supplied</x:v>
      </x:c>
      <x:c r="I20" s="7" t="str">
        <x:v>https://flo.uri.sh/visualisation/15494950/embed</x:v>
      </x:c>
    </x:row>
    <x:row r="21" ht="46" customHeight="1">
      <x:c r="A21" s="8" t="n">
        <x:v>17</x:v>
      </x:c>
      <x:c r="B21" s="11" t="str">
        <x:v>Alberta Park</x:v>
      </x:c>
      <x:c r="C21" s="11" t="str">
        <x:v>Replace Backflow preventer device</x:v>
      </x:c>
      <x:c r="D21" s="11" t="str">
        <x:v>Property</x:v>
      </x:c>
      <x:c r="E21" s="11" t="str">
        <x:v>- Replace out of compliance backflow preventers
- Assembly: Double Check Valve Assembly (DCVA)
- Move to property line, if needed
- Hazard: Right Of Way (ROW)
- See components for detail</x:v>
      </x:c>
      <x:c r="F21" s="20" t="n">
        <x:v>10000</x:v>
      </x:c>
      <x:c r="G21" s="8" t="str">
        <x:v>Utilities / lighting / drainage</x:v>
      </x:c>
      <x:c r="H21" s="8" t="str">
        <x:v>KGW November 2023 report; estimate dates not supplied</x:v>
      </x:c>
      <x:c r="I21" s="8" t="str">
        <x:v>https://flo.uri.sh/visualisation/15494950/embed</x:v>
      </x:c>
    </x:row>
    <x:row r="22" ht="46" customHeight="1">
      <x:c r="A22" s="7" t="n">
        <x:v>18</x:v>
      </x:c>
      <x:c r="B22" s="12" t="str">
        <x:v>Ankeny Plaza</x:v>
      </x:c>
      <x:c r="C22" s="12" t="str">
        <x:v>Replace Granite Tiles at Ankeny Plaza</x:v>
      </x:c>
      <x:c r="D22" s="12" t="str">
        <x:v>Ankeny Plaza</x:v>
      </x:c>
      <x:c r="E22" s="12" t="str">
        <x:v>Replace the granite tiles in Ankeny Plaza, an area approx 10,400 SF (130 x 80), with brick pavers.  The brick pavers are to match those installed at the Saturday Market area under the Burnside Bridge, and are to be installed with a mortar base.  Existing granite tiles are over 20 years old and are  cracking, creating trip hazards.  PP&amp;R has been patching the tiles to-date.</x:v>
      </x:c>
      <x:c r="F22" s="21" t="n">
        <x:v>576650</x:v>
      </x:c>
      <x:c r="G22" s="7" t="str">
        <x:v>Paths / access / bridges</x:v>
      </x:c>
      <x:c r="H22" s="7" t="str">
        <x:v>KGW November 2023 report; estimate dates not supplied</x:v>
      </x:c>
      <x:c r="I22" s="7" t="str">
        <x:v>https://flo.uri.sh/visualisation/15494950/embed</x:v>
      </x:c>
    </x:row>
    <x:row r="23" ht="46" customHeight="1">
      <x:c r="A23" s="8" t="n">
        <x:v>19</x:v>
      </x:c>
      <x:c r="B23" s="11" t="str">
        <x:v>Ankeny Plaza</x:v>
      </x:c>
      <x:c r="C23" s="11" t="str">
        <x:v>ESPC-III_Pathway Lighting to LEDs</x:v>
      </x:c>
      <x:c r="D23" s="11" t="str"/>
      <x:c r="E23" s="11" t="str">
        <x:v>Pathway Lighting Conversion to LEDs and Controls. Aprox: 8 Poles</x:v>
      </x:c>
      <x:c r="F23" s="20" t="n">
        <x:v>28225</x:v>
      </x:c>
      <x:c r="G23" s="8" t="str">
        <x:v>Paths / access / bridges</x:v>
      </x:c>
      <x:c r="H23" s="8" t="str">
        <x:v>KGW November 2023 report; estimate dates not supplied</x:v>
      </x:c>
      <x:c r="I23" s="8" t="str">
        <x:v>https://flo.uri.sh/visualisation/15494950/embed</x:v>
      </x:c>
    </x:row>
    <x:row r="24" ht="46" customHeight="1">
      <x:c r="A24" s="7" t="n">
        <x:v>20</x:v>
      </x:c>
      <x:c r="B24" s="12" t="str">
        <x:v>Ankeny Plaza</x:v>
      </x:c>
      <x:c r="C24" s="12" t="str">
        <x:v>Pathway Renovation</x:v>
      </x:c>
      <x:c r="D24" s="12" t="str">
        <x:v>Ankeny Plaza</x:v>
      </x:c>
      <x:c r="E24" s="12" t="str">
        <x:v>Replace the damaged pathway, trails and sidewalks that have been rated as 4 and 5 in Pathway assessment</x:v>
      </x:c>
      <x:c r="F24" s="21" t="n">
        <x:v>131717</x:v>
      </x:c>
      <x:c r="G24" s="7" t="str">
        <x:v>Paths / access / bridges</x:v>
      </x:c>
      <x:c r="H24" s="7" t="str">
        <x:v>KGW November 2023 report; estimate dates not supplied</x:v>
      </x:c>
      <x:c r="I24" s="7" t="str">
        <x:v>https://flo.uri.sh/visualisation/15494950/embed</x:v>
      </x:c>
    </x:row>
    <x:row r="25" ht="46" customHeight="1">
      <x:c r="A25" s="8" t="n">
        <x:v>21</x:v>
      </x:c>
      <x:c r="B25" s="11" t="str">
        <x:v>April Hill Park</x:v>
      </x:c>
      <x:c r="C25" s="11" t="str">
        <x:v>Evaluate and repair storm outfall protections and</x:v>
      </x:c>
      <x:c r="D25" s="11" t="str">
        <x:v>April Hill Park</x:v>
      </x:c>
      <x:c r="E25" s="11" t="str">
        <x:v>storm outfall protections and energy dissipation</x:v>
      </x:c>
      <x:c r="F25" s="20" t="n">
        <x:v>59967</x:v>
      </x:c>
      <x:c r="G25" s="8" t="str">
        <x:v>Utilities / lighting / drainage</x:v>
      </x:c>
      <x:c r="H25" s="8" t="str">
        <x:v>KGW November 2023 report; estimate dates not supplied</x:v>
      </x:c>
      <x:c r="I25" s="8" t="str">
        <x:v>https://flo.uri.sh/visualisation/15494950/embed</x:v>
      </x:c>
    </x:row>
    <x:row r="26" ht="46" customHeight="1">
      <x:c r="A26" s="7" t="n">
        <x:v>22</x:v>
      </x:c>
      <x:c r="B26" s="12" t="str">
        <x:v>April Hill Park</x:v>
      </x:c>
      <x:c r="C26" s="12" t="str">
        <x:v>Playground renovation</x:v>
      </x:c>
      <x:c r="D26" s="12" t="str">
        <x:v>Play Area A</x:v>
      </x:c>
      <x:c r="E26" s="12" t="str">
        <x:v>Renovation or repair playground that was rated as 4
 during playground assessment in 2020</x:v>
      </x:c>
      <x:c r="F26" s="21" t="n">
        <x:v>152889</x:v>
      </x:c>
      <x:c r="G26" s="7" t="str">
        <x:v>Fields / courts / play</x:v>
      </x:c>
      <x:c r="H26" s="7" t="str">
        <x:v>KGW November 2023 report; estimate dates not supplied</x:v>
      </x:c>
      <x:c r="I26" s="7" t="str">
        <x:v>https://flo.uri.sh/visualisation/15494950/embed</x:v>
      </x:c>
    </x:row>
    <x:row r="27" ht="46" customHeight="1">
      <x:c r="A27" s="8" t="n">
        <x:v>23</x:v>
      </x:c>
      <x:c r="B27" s="11" t="str">
        <x:v>April Hill Park</x:v>
      </x:c>
      <x:c r="C27" s="11" t="str">
        <x:v>Ecological Restoration_ April Hill Park</x:v>
      </x:c>
      <x:c r="D27" s="11" t="str"/>
      <x:c r="E27" s="11" t="str">
        <x:v>Placholder for Ecological health restoration</x:v>
      </x:c>
      <x:c r="F27" s="20" t="n">
        <x:v>147006</x:v>
      </x:c>
      <x:c r="G27" s="8" t="str">
        <x:v>Other site infrastructure</x:v>
      </x:c>
      <x:c r="H27" s="8" t="str">
        <x:v>KGW November 2023 report; estimate dates not supplied</x:v>
      </x:c>
      <x:c r="I27" s="8" t="str">
        <x:v>https://flo.uri.sh/visualisation/15494950/embed</x:v>
      </x:c>
    </x:row>
    <x:row r="28" ht="46" customHeight="1">
      <x:c r="A28" s="7" t="n">
        <x:v>24</x:v>
      </x:c>
      <x:c r="B28" s="12" t="str">
        <x:v>Arbor Lodge Park</x:v>
      </x:c>
      <x:c r="C28" s="12" t="str">
        <x:v>Pathway Renovation</x:v>
      </x:c>
      <x:c r="D28" s="12" t="str">
        <x:v>Arbor Lodge Park</x:v>
      </x:c>
      <x:c r="E28" s="12" t="str">
        <x:v>Replace the damaged pathway, trails and sidewalks that have been rated as 4 and 5 in Pathway assessment</x:v>
      </x:c>
      <x:c r="F28" s="21" t="n">
        <x:v>69289</x:v>
      </x:c>
      <x:c r="G28" s="7" t="str">
        <x:v>Paths / access / bridges</x:v>
      </x:c>
      <x:c r="H28" s="7" t="str">
        <x:v>KGW November 2023 report; estimate dates not supplied</x:v>
      </x:c>
      <x:c r="I28" s="7" t="str">
        <x:v>https://flo.uri.sh/visualisation/15494950/embed</x:v>
      </x:c>
    </x:row>
    <x:row r="29" ht="46" customHeight="1">
      <x:c r="A29" s="8" t="n">
        <x:v>25</x:v>
      </x:c>
      <x:c r="B29" s="11" t="str">
        <x:v>Arbor Lodge Park</x:v>
      </x:c>
      <x:c r="C29" s="11" t="str">
        <x:v>Tennis Court Repair</x:v>
      </x:c>
      <x:c r="D29" s="11" t="str">
        <x:v>Arbor Lodge Park</x:v>
      </x:c>
      <x:c r="E29" s="11" t="str">
        <x:v>Sport court shows signs of wear: top surface worn down to next layer, traction layer mostly gone, approx 400LF of cracks 1/2" or larger, causing trip hazard with difference in play surface.  Condition of court has generated community complaints.  Upgrade to communtiy level facility: prepare proper base and resurface 2 cracked courts, add drinking fountain and one bench, upgrade lighting.  Priority 2.</x:v>
      </x:c>
      <x:c r="F29" s="20" t="n">
        <x:v>564591</x:v>
      </x:c>
      <x:c r="G29" s="8" t="str">
        <x:v>Fields / courts / play</x:v>
      </x:c>
      <x:c r="H29" s="8" t="str">
        <x:v>KGW November 2023 report; estimate dates not supplied</x:v>
      </x:c>
      <x:c r="I29" s="8" t="str">
        <x:v>https://flo.uri.sh/visualisation/15494950/embed</x:v>
      </x:c>
    </x:row>
    <x:row r="30" ht="46" customHeight="1">
      <x:c r="A30" s="7" t="n">
        <x:v>26</x:v>
      </x:c>
      <x:c r="B30" s="12" t="str">
        <x:v>Arbor Lodge Park</x:v>
      </x:c>
      <x:c r="C30" s="12" t="str">
        <x:v>Renovate Playarea  surface</x:v>
      </x:c>
      <x:c r="D30" s="12" t="str">
        <x:v>Playground</x:v>
      </x:c>
      <x:c r="E30" s="12" t="str">
        <x:v>Playarea surface:
-Poured in place by the spinner is cracked and failing.
-Entire area is failing. Edges along concrete walk is lifting creating trip hazards and cracks and holes throughout swing/spinner/climber area.  
Forever Lawn surfacing: 
- surfacing seam is coming apart on SW side of hill.  Repair as needed.
- The "forever lawn" has forevered. There are 2 seems that need to be repaired
large fresh area is becoming delaminated on the NE side of the sandbox at the seam</x:v>
      </x:c>
      <x:c r="F30" s="21" t="n">
        <x:v>32804</x:v>
      </x:c>
      <x:c r="G30" s="7" t="str">
        <x:v>Paths / access / bridges</x:v>
      </x:c>
      <x:c r="H30" s="7" t="str">
        <x:v>KGW November 2023 report; estimate dates not supplied</x:v>
      </x:c>
      <x:c r="I30" s="7" t="str">
        <x:v>https://flo.uri.sh/visualisation/15494950/embed</x:v>
      </x:c>
    </x:row>
    <x:row r="31" ht="46" customHeight="1">
      <x:c r="A31" s="8" t="n">
        <x:v>27</x:v>
      </x:c>
      <x:c r="B31" s="11" t="str">
        <x:v>Arbor Lodge Park</x:v>
      </x:c>
      <x:c r="C31" s="11" t="str">
        <x:v>ESPC-III_Buildings Lighting to LEDs</x:v>
      </x:c>
      <x:c r="D31" s="11" t="str">
        <x:v>Restroom - Storage</x:v>
      </x:c>
      <x:c r="E31" s="11" t="str">
        <x:v>LED conversion for Exterior and Interior Lights</x:v>
      </x:c>
      <x:c r="F31" s="20" t="n">
        <x:v>11760</x:v>
      </x:c>
      <x:c r="G31" s="8" t="str">
        <x:v>Buildings / building systems</x:v>
      </x:c>
      <x:c r="H31" s="8" t="str">
        <x:v>KGW November 2023 report; estimate dates not supplied</x:v>
      </x:c>
      <x:c r="I31" s="8" t="str">
        <x:v>https://flo.uri.sh/visualisation/15494950/embed</x:v>
      </x:c>
    </x:row>
    <x:row r="32" ht="46" customHeight="1">
      <x:c r="A32" s="7" t="n">
        <x:v>28</x:v>
      </x:c>
      <x:c r="B32" s="12" t="str">
        <x:v>Argay Park</x:v>
      </x:c>
      <x:c r="C32" s="12" t="str">
        <x:v>ESPC-III_Pathway Lighting to LEDs</x:v>
      </x:c>
      <x:c r="D32" s="12" t="str"/>
      <x:c r="E32" s="12" t="str">
        <x:v>Pathway Lighting Conversion to LEDs and Controls. Aprox: 22 Poles</x:v>
      </x:c>
      <x:c r="F32" s="21" t="n">
        <x:v>77619</x:v>
      </x:c>
      <x:c r="G32" s="7" t="str">
        <x:v>Paths / access / bridges</x:v>
      </x:c>
      <x:c r="H32" s="7" t="str">
        <x:v>KGW November 2023 report; estimate dates not supplied</x:v>
      </x:c>
      <x:c r="I32" s="7" t="str">
        <x:v>https://flo.uri.sh/visualisation/15494950/embed</x:v>
      </x:c>
    </x:row>
    <x:row r="33" ht="46" customHeight="1">
      <x:c r="A33" s="8" t="n">
        <x:v>29</x:v>
      </x:c>
      <x:c r="B33" s="11" t="str">
        <x:v>Argay Park</x:v>
      </x:c>
      <x:c r="C33" s="11" t="str">
        <x:v>Pathway Renovation</x:v>
      </x:c>
      <x:c r="D33" s="11" t="str">
        <x:v>Internal Pathway/ Sidewalk</x:v>
      </x:c>
      <x:c r="E33" s="11" t="str">
        <x:v>Replace the damaged pathway, trails and sidewalks that have been rated as 4 and 5 in Pathway assessment</x:v>
      </x:c>
      <x:c r="F33" s="20" t="n">
        <x:v>54627</x:v>
      </x:c>
      <x:c r="G33" s="8" t="str">
        <x:v>Paths / access / bridges</x:v>
      </x:c>
      <x:c r="H33" s="8" t="str">
        <x:v>KGW November 2023 report; estimate dates not supplied</x:v>
      </x:c>
      <x:c r="I33" s="8" t="str">
        <x:v>https://flo.uri.sh/visualisation/15494950/embed</x:v>
      </x:c>
    </x:row>
    <x:row r="34" ht="46" customHeight="1">
      <x:c r="A34" s="7" t="n">
        <x:v>30</x:v>
      </x:c>
      <x:c r="B34" s="12" t="str">
        <x:v>Argay Park</x:v>
      </x:c>
      <x:c r="C34" s="12" t="str">
        <x:v>Playground renovation</x:v>
      </x:c>
      <x:c r="D34" s="12" t="str">
        <x:v>Play Area A</x:v>
      </x:c>
      <x:c r="E34" s="12" t="str">
        <x:v>Renovation or repair playground that was rated as 4
 during playground assessment in 2020</x:v>
      </x:c>
      <x:c r="F34" s="21" t="n">
        <x:v>177044</x:v>
      </x:c>
      <x:c r="G34" s="7" t="str">
        <x:v>Fields / courts / play</x:v>
      </x:c>
      <x:c r="H34" s="7" t="str">
        <x:v>KGW November 2023 report; estimate dates not supplied</x:v>
      </x:c>
      <x:c r="I34" s="7" t="str">
        <x:v>https://flo.uri.sh/visualisation/15494950/embed</x:v>
      </x:c>
    </x:row>
    <x:row r="35" ht="46" customHeight="1">
      <x:c r="A35" s="8" t="n">
        <x:v>31</x:v>
      </x:c>
      <x:c r="B35" s="11" t="str">
        <x:v>Argay Park</x:v>
      </x:c>
      <x:c r="C35" s="11" t="str">
        <x:v>Renovate sport field</x:v>
      </x:c>
      <x:c r="D35" s="11" t="str">
        <x:v>Ball Field 1, Sports Field 1</x:v>
      </x:c>
      <x:c r="E35" s="11" t="str">
        <x:v>Sport fields rated 4 or 5 in condition assessment</x:v>
      </x:c>
      <x:c r="F35" s="20" t="n">
        <x:v>1020002</x:v>
      </x:c>
      <x:c r="G35" s="8" t="str">
        <x:v>Fields / courts / play</x:v>
      </x:c>
      <x:c r="H35" s="8" t="str">
        <x:v>KGW November 2023 report; estimate dates not supplied</x:v>
      </x:c>
      <x:c r="I35" s="8" t="str">
        <x:v>https://flo.uri.sh/visualisation/15494950/embed</x:v>
      </x:c>
    </x:row>
    <x:row r="36" ht="46" customHeight="1">
      <x:c r="A36" s="7" t="n">
        <x:v>32</x:v>
      </x:c>
      <x:c r="B36" s="12" t="str">
        <x:v>Arnold Creek Natural Area</x:v>
      </x:c>
      <x:c r="C36" s="12" t="str">
        <x:v>Ecological Restoration_ Arnold Creek Natural Area</x:v>
      </x:c>
      <x:c r="D36" s="12" t="str"/>
      <x:c r="E36" s="12" t="str">
        <x:v>Placholder for Ecological health restoration
Part of (Marshall park include Jensen and Foley-Balmer) project</x:v>
      </x:c>
      <x:c r="F36" s="21" t="n">
        <x:v>147006</x:v>
      </x:c>
      <x:c r="G36" s="7" t="str">
        <x:v>Other site infrastructure</x:v>
      </x:c>
      <x:c r="H36" s="7" t="str">
        <x:v>KGW November 2023 report; estimate dates not supplied</x:v>
      </x:c>
      <x:c r="I36" s="7" t="str">
        <x:v>https://flo.uri.sh/visualisation/15494950/embed</x:v>
      </x:c>
    </x:row>
    <x:row r="37" ht="46" customHeight="1">
      <x:c r="A37" s="8" t="n">
        <x:v>33</x:v>
      </x:c>
      <x:c r="B37" s="11" t="str">
        <x:v>Ash Creek Natural Area</x:v>
      </x:c>
      <x:c r="C37" s="11" t="str">
        <x:v>Ecological Restoration_ Ash Creek Natural Area</x:v>
      </x:c>
      <x:c r="D37" s="11" t="str"/>
      <x:c r="E37" s="11" t="str">
        <x:v>Placholder for Ecological health restoration
Part of (Ash Creek Natural Area &amp; Dickinson Woods) project</x:v>
      </x:c>
      <x:c r="F37" s="20" t="n">
        <x:v>73503</x:v>
      </x:c>
      <x:c r="G37" s="8" t="str">
        <x:v>Other site infrastructure</x:v>
      </x:c>
      <x:c r="H37" s="8" t="str">
        <x:v>KGW November 2023 report; estimate dates not supplied</x:v>
      </x:c>
      <x:c r="I37" s="8" t="str">
        <x:v>https://flo.uri.sh/visualisation/15494950/embed</x:v>
      </x:c>
    </x:row>
    <x:row r="38" ht="46" customHeight="1">
      <x:c r="A38" s="7" t="n">
        <x:v>34</x:v>
      </x:c>
      <x:c r="B38" s="12" t="str">
        <x:v>Beggars Tick</x:v>
      </x:c>
      <x:c r="C38" s="12" t="str">
        <x:v>Renovate parking lot_Parking Area A</x:v>
      </x:c>
      <x:c r="D38" s="12" t="str">
        <x:v>Parking Area A</x:v>
      </x:c>
      <x:c r="E38" s="12" t="str">
        <x:v>Repair parking lot that was rated 4 in condition assessment. Repair include surface, drainage and curb. approx area= 2165 sq.ft</x:v>
      </x:c>
      <x:c r="F38" s="21" t="n">
        <x:v>11571</x:v>
      </x:c>
      <x:c r="G38" s="7" t="str">
        <x:v>Utilities / lighting / drainage</x:v>
      </x:c>
      <x:c r="H38" s="7" t="str">
        <x:v>KGW November 2023 report; estimate dates not supplied</x:v>
      </x:c>
      <x:c r="I38" s="7" t="str">
        <x:v>https://flo.uri.sh/visualisation/15494950/embed</x:v>
      </x:c>
    </x:row>
    <x:row r="39" ht="46" customHeight="1">
      <x:c r="A39" s="8" t="n">
        <x:v>35</x:v>
      </x:c>
      <x:c r="B39" s="11" t="str">
        <x:v>Berkeley Park</x:v>
      </x:c>
      <x:c r="C39" s="11" t="str">
        <x:v>Address Drainage Issues</x:v>
      </x:c>
      <x:c r="D39" s="11" t="str">
        <x:v>Berkeley Park</x:v>
      </x:c>
      <x:c r="E39" s="11" t="str">
        <x:v>Water drains to the SW corner of the park, and has flooded neighboring (private) property basemenets.  Drainage systems are below capacity.</x:v>
      </x:c>
      <x:c r="F39" s="20" t="n">
        <x:v>78412</x:v>
      </x:c>
      <x:c r="G39" s="8" t="str">
        <x:v>Utilities / lighting / drainage</x:v>
      </x:c>
      <x:c r="H39" s="8" t="str">
        <x:v>KGW November 2023 report; estimate dates not supplied</x:v>
      </x:c>
      <x:c r="I39" s="8" t="str">
        <x:v>https://flo.uri.sh/visualisation/15494950/embed</x:v>
      </x:c>
    </x:row>
    <x:row r="40" ht="46" customHeight="1">
      <x:c r="A40" s="7" t="n">
        <x:v>36</x:v>
      </x:c>
      <x:c r="B40" s="12" t="str">
        <x:v>Berkeley Park</x:v>
      </x:c>
      <x:c r="C40" s="12" t="str">
        <x:v>Pathway Renovation</x:v>
      </x:c>
      <x:c r="D40" s="12" t="str">
        <x:v>Internal Pathway/ Sidewalk</x:v>
      </x:c>
      <x:c r="E40" s="12" t="str">
        <x:v>Replace the damaged pathway, trails and sidewalks that have been rated as 4 and 5 in Pathway assessment
Widen path to allow larger truck access at Berkeley Park.  Aprpox 8200 SF.  Replaces CIP 2279, projects were split out by site.</x:v>
      </x:c>
      <x:c r="F40" s="21" t="n">
        <x:v>65078</x:v>
      </x:c>
      <x:c r="G40" s="7" t="str">
        <x:v>Paths / access / bridges</x:v>
      </x:c>
      <x:c r="H40" s="7" t="str">
        <x:v>KGW November 2023 report; estimate dates not supplied</x:v>
      </x:c>
      <x:c r="I40" s="7" t="str">
        <x:v>https://flo.uri.sh/visualisation/15494950/embed</x:v>
      </x:c>
    </x:row>
    <x:row r="41" ht="46" customHeight="1">
      <x:c r="A41" s="8" t="n">
        <x:v>37</x:v>
      </x:c>
      <x:c r="B41" s="11" t="str">
        <x:v>Berkeley Park</x:v>
      </x:c>
      <x:c r="C41" s="11" t="str">
        <x:v>ESPC-III_Buildings Lighting to LEDs</x:v>
      </x:c>
      <x:c r="D41" s="11" t="str">
        <x:v>Restroom</x:v>
      </x:c>
      <x:c r="E41" s="11" t="str">
        <x:v>LED conversion for Exterior and Interior Lights</x:v>
      </x:c>
      <x:c r="F41" s="20" t="n">
        <x:v>11760</x:v>
      </x:c>
      <x:c r="G41" s="8" t="str">
        <x:v>Buildings / building systems</x:v>
      </x:c>
      <x:c r="H41" s="8" t="str">
        <x:v>KGW November 2023 report; estimate dates not supplied</x:v>
      </x:c>
      <x:c r="I41" s="8" t="str">
        <x:v>https://flo.uri.sh/visualisation/15494950/embed</x:v>
      </x:c>
    </x:row>
    <x:row r="42" ht="46" customHeight="1">
      <x:c r="A42" s="7" t="n">
        <x:v>38</x:v>
      </x:c>
      <x:c r="B42" s="12" t="str">
        <x:v>Berrydale Park</x:v>
      </x:c>
      <x:c r="C42" s="12" t="str">
        <x:v>Improve Berrydale CG</x:v>
      </x:c>
      <x:c r="D42" s="12" t="str">
        <x:v>Berrydale Community Garden</x:v>
      </x:c>
      <x:c r="E42" s="12" t="str">
        <x:v>Replace aging assets: fence and irrigation system. Replace old signs with current style.
Berrydale Community Garden was established in 1976. The fence is failing in several areas and the irrigation system needs to be repaired yearly. Signs need to be replaced</x:v>
      </x:c>
      <x:c r="F42" s="21" t="n">
        <x:v>32393</x:v>
      </x:c>
      <x:c r="G42" s="7" t="str">
        <x:v>Utilities / lighting / drainage</x:v>
      </x:c>
      <x:c r="H42" s="7" t="str">
        <x:v>KGW November 2023 report; estimate dates not supplied</x:v>
      </x:c>
      <x:c r="I42" s="7" t="str">
        <x:v>https://flo.uri.sh/visualisation/15494950/embed</x:v>
      </x:c>
    </x:row>
    <x:row r="43" ht="46" customHeight="1">
      <x:c r="A43" s="8" t="n">
        <x:v>39</x:v>
      </x:c>
      <x:c r="B43" s="11" t="str">
        <x:v>Berrydale Park</x:v>
      </x:c>
      <x:c r="C43" s="11" t="str">
        <x:v>Playground renovation</x:v>
      </x:c>
      <x:c r="D43" s="11" t="str">
        <x:v>Play Area A</x:v>
      </x:c>
      <x:c r="E43" s="11" t="str">
        <x:v>Renovation or repair playground that was rated as 4 during playground assessment in 2020
Install safety mats and provide ADA-compliant play eqpt, add small free play area, per Technical Paper.</x:v>
      </x:c>
      <x:c r="F43" s="20" t="n">
        <x:v>252384</x:v>
      </x:c>
      <x:c r="G43" s="8" t="str">
        <x:v>Paths / access / bridges</x:v>
      </x:c>
      <x:c r="H43" s="8" t="str">
        <x:v>KGW November 2023 report; estimate dates not supplied</x:v>
      </x:c>
      <x:c r="I43" s="8" t="str">
        <x:v>https://flo.uri.sh/visualisation/15494950/embed</x:v>
      </x:c>
    </x:row>
    <x:row r="44" ht="46" customHeight="1">
      <x:c r="A44" s="7" t="n">
        <x:v>40</x:v>
      </x:c>
      <x:c r="B44" s="12" t="str">
        <x:v>Big Four Corners Natural Area</x:v>
      </x:c>
      <x:c r="C44" s="12" t="str">
        <x:v>Rebuild trail from Airport Way to NE 185th</x:v>
      </x:c>
      <x:c r="D44" s="12" t="str">
        <x:v>Big Four Corners Natural Area</x:v>
      </x:c>
      <x:c r="E44" s="12" t="str">
        <x:v>Rebuild distressed portions of the trail from Airport Way to NE 185th.  Would need to amend the South Shore plan to allow for an upgrade to the trail.</x:v>
      </x:c>
      <x:c r="F44" s="21" t="n">
        <x:v>154807</x:v>
      </x:c>
      <x:c r="G44" s="7" t="str">
        <x:v>Paths / access / bridges</x:v>
      </x:c>
      <x:c r="H44" s="7" t="str">
        <x:v>KGW November 2023 report; estimate dates not supplied</x:v>
      </x:c>
      <x:c r="I44" s="7" t="str">
        <x:v>https://flo.uri.sh/visualisation/15494950/embed</x:v>
      </x:c>
    </x:row>
    <x:row r="45" ht="46" customHeight="1">
      <x:c r="A45" s="8" t="n">
        <x:v>41</x:v>
      </x:c>
      <x:c r="B45" s="11" t="str">
        <x:v>Big Four Corners Natural Area</x:v>
      </x:c>
      <x:c r="C45" s="11" t="str">
        <x:v>Ecological Restoration_ Big Four Corners Natural Area</x:v>
      </x:c>
      <x:c r="D45" s="11" t="str"/>
      <x:c r="E45" s="11" t="str">
        <x:v>Placholder for Ecological health restoration</x:v>
      </x:c>
      <x:c r="F45" s="20" t="n">
        <x:v>147006</x:v>
      </x:c>
      <x:c r="G45" s="8" t="str">
        <x:v>Other site infrastructure</x:v>
      </x:c>
      <x:c r="H45" s="8" t="str">
        <x:v>KGW November 2023 report; estimate dates not supplied</x:v>
      </x:c>
      <x:c r="I45" s="8" t="str">
        <x:v>https://flo.uri.sh/visualisation/15494950/embed</x:v>
      </x:c>
    </x:row>
    <x:row r="46" ht="46" customHeight="1">
      <x:c r="A46" s="7" t="n">
        <x:v>42</x:v>
      </x:c>
      <x:c r="B46" s="12" t="str">
        <x:v>Bloomington Park</x:v>
      </x:c>
      <x:c r="C46" s="12" t="str">
        <x:v>Pathway Renovation</x:v>
      </x:c>
      <x:c r="D46" s="12" t="str">
        <x:v>Internal Pathway/ Sidewalk</x:v>
      </x:c>
      <x:c r="E46" s="12" t="str">
        <x:v>Replace the damaged pathway, trails and sidewalks that have been rated as 4 and 5 in Pathway assessment</x:v>
      </x:c>
      <x:c r="F46" s="21" t="n">
        <x:v>96993</x:v>
      </x:c>
      <x:c r="G46" s="7" t="str">
        <x:v>Paths / access / bridges</x:v>
      </x:c>
      <x:c r="H46" s="7" t="str">
        <x:v>KGW November 2023 report; estimate dates not supplied</x:v>
      </x:c>
      <x:c r="I46" s="7" t="str">
        <x:v>https://flo.uri.sh/visualisation/15494950/embed</x:v>
      </x:c>
    </x:row>
    <x:row r="47" ht="46" customHeight="1">
      <x:c r="A47" s="8" t="n">
        <x:v>43</x:v>
      </x:c>
      <x:c r="B47" s="11" t="str">
        <x:v>Bloomington Park</x:v>
      </x:c>
      <x:c r="C47" s="11" t="str">
        <x:v>ESPC-II_ Bloomington Park</x:v>
      </x:c>
      <x:c r="D47" s="11" t="str"/>
      <x:c r="E47" s="11" t="str">
        <x:v>Develop new well at Bloomington Park for irrigation purposes. Install new submersible well pump estimated as 20HP with 300gpm at 101'.. FIM Name: 18.04-0061 Develop New Well</x:v>
      </x:c>
      <x:c r="F47" s="20" t="n">
        <x:v>613421</x:v>
      </x:c>
      <x:c r="G47" s="8" t="str">
        <x:v>Utilities / lighting / drainage</x:v>
      </x:c>
      <x:c r="H47" s="8" t="str">
        <x:v>KGW November 2023 report; estimate dates not supplied</x:v>
      </x:c>
      <x:c r="I47" s="8" t="str">
        <x:v>https://flo.uri.sh/visualisation/15494950/embed</x:v>
      </x:c>
    </x:row>
    <x:row r="48" ht="46" customHeight="1">
      <x:c r="A48" s="7" t="n">
        <x:v>44</x:v>
      </x:c>
      <x:c r="B48" s="12" t="str">
        <x:v>Bloomington Park</x:v>
      </x:c>
      <x:c r="C48" s="12" t="str">
        <x:v>Add new play area, replace play equipment</x:v>
      </x:c>
      <x:c r="D48" s="12" t="str">
        <x:v>Bloomington Park</x:v>
      </x:c>
      <x:c r="E48" s="12" t="str">
        <x:v>New play area, 4900 SF.  Demo old swing set, excavate 275 cu. Yards of earth, move existing sprinkler heads, install 2 new swing sets and new teeter totter, add drain rock, fabric, play chips.Note that these improvements could trigger the requirement to bring other aspects of the park up to ADA.</x:v>
      </x:c>
      <x:c r="F48" s="21" t="n">
        <x:v>23413</x:v>
      </x:c>
      <x:c r="G48" s="7" t="str">
        <x:v>Paths / access / bridges</x:v>
      </x:c>
      <x:c r="H48" s="7" t="str">
        <x:v>KGW November 2023 report; estimate dates not supplied</x:v>
      </x:c>
      <x:c r="I48" s="7" t="str">
        <x:v>https://flo.uri.sh/visualisation/15494950/embed</x:v>
      </x:c>
    </x:row>
    <x:row r="49" ht="46" customHeight="1">
      <x:c r="A49" s="8" t="n">
        <x:v>45</x:v>
      </x:c>
      <x:c r="B49" s="11" t="str">
        <x:v>Bloomington Park</x:v>
      </x:c>
      <x:c r="C49" s="11" t="str">
        <x:v>Playground renovation</x:v>
      </x:c>
      <x:c r="D49" s="11" t="str">
        <x:v>Play Area A</x:v>
      </x:c>
      <x:c r="E49" s="11" t="str">
        <x:v>Renovation or repair playground that was rated as 5 during playground assessment in 2020</x:v>
      </x:c>
      <x:c r="F49" s="20" t="n">
        <x:v>205829</x:v>
      </x:c>
      <x:c r="G49" s="8" t="str">
        <x:v>Fields / courts / play</x:v>
      </x:c>
      <x:c r="H49" s="8" t="str">
        <x:v>KGW November 2023 report; estimate dates not supplied</x:v>
      </x:c>
      <x:c r="I49" s="8" t="str">
        <x:v>https://flo.uri.sh/visualisation/15494950/embed</x:v>
      </x:c>
    </x:row>
    <x:row r="50" ht="46" customHeight="1">
      <x:c r="A50" s="7" t="n">
        <x:v>46</x:v>
      </x:c>
      <x:c r="B50" s="12" t="str">
        <x:v>Brentwood Park</x:v>
      </x:c>
      <x:c r="C50" s="12" t="str">
        <x:v>ESPC-II_ Brentwood Park</x:v>
      </x:c>
      <x:c r="D50" s="12" t="str"/>
      <x:c r="E50" s="12" t="str">
        <x:v>Install a GE control node on each pathway light fixture.  Node for parks with &lt;50 fixtures will be model #ELWM18BXXXXAD.  Node for parks with &gt;50 fixtures will be model #ELWN08BXXXXAD.. FIM Name: 09.17-0063 Building Exterior Lighting Controls</x:v>
      </x:c>
      <x:c r="F50" s="21" t="n">
        <x:v>733</x:v>
      </x:c>
      <x:c r="G50" s="7" t="str">
        <x:v>Buildings / building systems</x:v>
      </x:c>
      <x:c r="H50" s="7" t="str">
        <x:v>KGW November 2023 report; estimate dates not supplied</x:v>
      </x:c>
      <x:c r="I50" s="7" t="str">
        <x:v>https://flo.uri.sh/visualisation/15494950/embed</x:v>
      </x:c>
    </x:row>
    <x:row r="51" ht="46" customHeight="1">
      <x:c r="A51" s="8" t="n">
        <x:v>47</x:v>
      </x:c>
      <x:c r="B51" s="11" t="str">
        <x:v>Brentwood Park</x:v>
      </x:c>
      <x:c r="C51" s="11" t="str">
        <x:v>Path Repair and Repaving</x:v>
      </x:c>
      <x:c r="D51" s="11" t="str">
        <x:v>Brentwood Park</x:v>
      </x:c>
      <x:c r="E51" s="11" t="str">
        <x:v>Resurface all pathways at Brentwood Park, approx 12,030 SF.  Replaces CIP 2279, projects were split out by site.</x:v>
      </x:c>
      <x:c r="F51" s="20" t="n">
        <x:v>58943</x:v>
      </x:c>
      <x:c r="G51" s="8" t="str">
        <x:v>Paths / access / bridges</x:v>
      </x:c>
      <x:c r="H51" s="8" t="str">
        <x:v>KGW November 2023 report; estimate dates not supplied</x:v>
      </x:c>
      <x:c r="I51" s="8" t="str">
        <x:v>https://flo.uri.sh/visualisation/15494950/embed</x:v>
      </x:c>
    </x:row>
    <x:row r="52" ht="46" customHeight="1">
      <x:c r="A52" s="7" t="n">
        <x:v>48</x:v>
      </x:c>
      <x:c r="B52" s="12" t="str">
        <x:v>Brentwood Park</x:v>
      </x:c>
      <x:c r="C52" s="12" t="str">
        <x:v>ESPC-II_ Brentwood Park</x:v>
      </x:c>
      <x:c r="D52" s="12" t="str"/>
      <x:c r="E52" s="12" t="str">
        <x:v>Develop new well at Brentwood Park for irrigation purposes. Demo existing irrigation booster pump and install new submersible well pump estimated as 20HP with 120gpm at 130'.. FIM Name: 18.04-0063 Develop New Well</x:v>
      </x:c>
      <x:c r="F52" s="21" t="n">
        <x:v>558936</x:v>
      </x:c>
      <x:c r="G52" s="7" t="str">
        <x:v>Utilities / lighting / drainage</x:v>
      </x:c>
      <x:c r="H52" s="7" t="str">
        <x:v>KGW November 2023 report; estimate dates not supplied</x:v>
      </x:c>
      <x:c r="I52" s="7" t="str">
        <x:v>https://flo.uri.sh/visualisation/15494950/embed</x:v>
      </x:c>
    </x:row>
    <x:row r="53" ht="46" customHeight="1">
      <x:c r="A53" s="8" t="n">
        <x:v>49</x:v>
      </x:c>
      <x:c r="B53" s="11" t="str">
        <x:v>Brentwood Park</x:v>
      </x:c>
      <x:c r="C53" s="11" t="str">
        <x:v>DOLA Improvements</x:v>
      </x:c>
      <x:c r="D53" s="11" t="str">
        <x:v>Brentwood Park</x:v>
      </x:c>
      <x:c r="E53" s="11" t="str">
        <x:v>- Improve DOLA.  Add potable line, drinking fountain with dog dish, benches, and re-do the fence fabric.  The site was previously a test site and is now permanent.  As a permanent DOLA it requires some improvements.
- DOLA fence fabric ( livestock fencing)is in bad condition, needs total replacement. Move vehicle access gate to east side of DOLA, 62nd Ave and remove 1existing gate at west side. Have received several complaints, parkscans dogs are getting out.
- Replace existing wire fence surrounding DOLA. Upon citizen complaint inspection revealed the uncoated wire fence was buried on installation and has rusted at ground level to create poking hazards and large areas of open fence. Zone personnel have mitigated the problem by clipping poke hazards and pounding fence deeper. 
C.C. Alex Salazar , William Alley
contact Bill Alley 971-645-1329</x:v>
      </x:c>
      <x:c r="F53" s="20" t="n">
        <x:v>338237</x:v>
      </x:c>
      <x:c r="G53" s="8" t="str">
        <x:v>Other site infrastructure</x:v>
      </x:c>
      <x:c r="H53" s="8" t="str">
        <x:v>KGW November 2023 report; estimate dates not supplied</x:v>
      </x:c>
      <x:c r="I53" s="8" t="str">
        <x:v>https://flo.uri.sh/visualisation/15494950/embed</x:v>
      </x:c>
    </x:row>
    <x:row r="54" ht="46" customHeight="1">
      <x:c r="A54" s="7" t="n">
        <x:v>50</x:v>
      </x:c>
      <x:c r="B54" s="12" t="str">
        <x:v>Brentwood Park</x:v>
      </x:c>
      <x:c r="C54" s="12" t="str">
        <x:v>Pathway Renovation</x:v>
      </x:c>
      <x:c r="D54" s="12" t="str">
        <x:v>Internal Pathway/ Sidewalk</x:v>
      </x:c>
      <x:c r="E54" s="12" t="str">
        <x:v>Replace the damaged pathway, trails and sidewalks that have been rated as 4 and 5 in Pathway assessment</x:v>
      </x:c>
      <x:c r="F54" s="21" t="n">
        <x:v>168398</x:v>
      </x:c>
      <x:c r="G54" s="7" t="str">
        <x:v>Paths / access / bridges</x:v>
      </x:c>
      <x:c r="H54" s="7" t="str">
        <x:v>KGW November 2023 report; estimate dates not supplied</x:v>
      </x:c>
      <x:c r="I54" s="7" t="str">
        <x:v>https://flo.uri.sh/visualisation/15494950/embed</x:v>
      </x:c>
    </x:row>
    <x:row r="55" ht="46" customHeight="1">
      <x:c r="A55" s="8" t="n">
        <x:v>51</x:v>
      </x:c>
      <x:c r="B55" s="11" t="str">
        <x:v>Brentwood Park</x:v>
      </x:c>
      <x:c r="C55" s="11" t="str">
        <x:v>Replace and relocate swing</x:v>
      </x:c>
      <x:c r="D55" s="11" t="str">
        <x:v>Brentwood Park</x:v>
      </x:c>
      <x:c r="E55" s="11" t="str">
        <x:v>Failed Inspection Point from WO 287155: A. Playground Surface Area. Swings- Safety Use Zone is inadequate due to poor design. This Use Zone doesn’t meet playground safety standards. The only option due to poor design is to remove, replace, and relocate swing.</x:v>
      </x:c>
      <x:c r="F55" s="20" t="n">
        <x:v>11760</x:v>
      </x:c>
      <x:c r="G55" s="8" t="str">
        <x:v>Fields / courts / play</x:v>
      </x:c>
      <x:c r="H55" s="8" t="str">
        <x:v>KGW November 2023 report; estimate dates not supplied</x:v>
      </x:c>
      <x:c r="I55" s="8" t="str">
        <x:v>https://flo.uri.sh/visualisation/15494950/embed</x:v>
      </x:c>
    </x:row>
    <x:row r="56" ht="46" customHeight="1">
      <x:c r="A56" s="7" t="n">
        <x:v>52</x:v>
      </x:c>
      <x:c r="B56" s="12" t="str">
        <x:v>Brentwood Park</x:v>
      </x:c>
      <x:c r="C56" s="12" t="str">
        <x:v>Renovate Tennis sport court at Brentwood Park</x:v>
      </x:c>
      <x:c r="D56" s="12" t="str">
        <x:v>Tennis Court</x:v>
      </x:c>
      <x:c r="E56" s="12" t="str">
        <x:v>Fix or replace the Asphalt surface of the court that is rated 4 through courts' assessment</x:v>
      </x:c>
      <x:c r="F56" s="21" t="n">
        <x:v>1027833</x:v>
      </x:c>
      <x:c r="G56" s="7" t="str">
        <x:v>Fields / courts / play</x:v>
      </x:c>
      <x:c r="H56" s="7" t="str">
        <x:v>KGW November 2023 report; estimate dates not supplied</x:v>
      </x:c>
      <x:c r="I56" s="7" t="str">
        <x:v>https://flo.uri.sh/visualisation/15494950/embed</x:v>
      </x:c>
    </x:row>
    <x:row r="57" ht="46" customHeight="1">
      <x:c r="A57" s="8" t="n">
        <x:v>53</x:v>
      </x:c>
      <x:c r="B57" s="11" t="str">
        <x:v>Bridgeton Slough Natural Area</x:v>
      </x:c>
      <x:c r="C57" s="11" t="str">
        <x:v>Design &amp; Construction</x:v>
      </x:c>
      <x:c r="D57" s="11" t="str">
        <x:v>Bridgeton Slough Natural Area</x:v>
      </x:c>
      <x:c r="E57" s="11" t="str">
        <x:v>(Major coordination with PDC, Metro). Pending easement negotiations.</x:v>
      </x:c>
      <x:c r="F57" s="20" t="n">
        <x:v>492240</x:v>
      </x:c>
      <x:c r="G57" s="8" t="str">
        <x:v>Paths / access / bridges</x:v>
      </x:c>
      <x:c r="H57" s="8" t="str">
        <x:v>KGW November 2023 report; estimate dates not supplied</x:v>
      </x:c>
      <x:c r="I57" s="8" t="str">
        <x:v>https://flo.uri.sh/visualisation/15494950/embed</x:v>
      </x:c>
    </x:row>
    <x:row r="58" ht="46" customHeight="1">
      <x:c r="A58" s="7" t="n">
        <x:v>54</x:v>
      </x:c>
      <x:c r="B58" s="12" t="str">
        <x:v>Bridlemile Elementary School</x:v>
      </x:c>
      <x:c r="C58" s="12" t="str">
        <x:v>Bridlemile ES - 1 Soccer Field, 1 Ball Field</x:v>
      </x:c>
      <x:c r="D58" s="12" t="str">
        <x:v>Bridlemile Elementary School</x:v>
      </x:c>
      <x:c r="E58" s="12" t="str">
        <x:v>- Bridlemile ES - 1 Soccer Field, 1 Ball Field. 
- CONTRIBUTION toward improvements at selected schools such as installing irrigation, improved goals, backstops, bleachers, etc.</x:v>
      </x:c>
      <x:c r="F58" s="21" t="n">
        <x:v>154807</x:v>
      </x:c>
      <x:c r="G58" s="7" t="str">
        <x:v>Fields / courts / play</x:v>
      </x:c>
      <x:c r="H58" s="7" t="str">
        <x:v>KGW November 2023 report; estimate dates not supplied</x:v>
      </x:c>
      <x:c r="I58" s="7" t="str">
        <x:v>https://flo.uri.sh/visualisation/15494950/embed</x:v>
      </x:c>
    </x:row>
    <x:row r="59" ht="46" customHeight="1">
      <x:c r="A59" s="8" t="n">
        <x:v>55</x:v>
      </x:c>
      <x:c r="B59" s="11" t="str">
        <x:v>Brooklyn Park</x:v>
      </x:c>
      <x:c r="C59" s="11" t="str">
        <x:v>Baseball Field and North Side Drainage Improvement</x:v>
      </x:c>
      <x:c r="D59" s="11" t="str">
        <x:v>Brooklyn Park</x:v>
      </x:c>
      <x:c r="E59" s="11" t="str">
        <x:v>Runoff from baseball field / park slope floods neighboring property owned by private party.  This short masonry wall and trench will replace temporary sandbag measures to prevent runoff from entering neighboring property.</x:v>
      </x:c>
      <x:c r="F59" s="20" t="n">
        <x:v>43628</x:v>
      </x:c>
      <x:c r="G59" s="8" t="str">
        <x:v>Fields / courts / play</x:v>
      </x:c>
      <x:c r="H59" s="8" t="str">
        <x:v>KGW November 2023 report; estimate dates not supplied</x:v>
      </x:c>
      <x:c r="I59" s="8" t="str">
        <x:v>https://flo.uri.sh/visualisation/15494950/embed</x:v>
      </x:c>
    </x:row>
    <x:row r="60" ht="46" customHeight="1">
      <x:c r="A60" s="7" t="n">
        <x:v>56</x:v>
      </x:c>
      <x:c r="B60" s="12" t="str">
        <x:v>Brooklyn Park</x:v>
      </x:c>
      <x:c r="C60" s="12" t="str">
        <x:v>Pathway Renovation</x:v>
      </x:c>
      <x:c r="D60" s="12" t="str">
        <x:v>Brooklyn Park</x:v>
      </x:c>
      <x:c r="E60" s="12" t="str">
        <x:v>Replace the damaged pathway, trails and sidewalks that have been rated as 4 and 5 in Pathway assessment</x:v>
      </x:c>
      <x:c r="F60" s="21" t="n">
        <x:v>34030</x:v>
      </x:c>
      <x:c r="G60" s="7" t="str">
        <x:v>Paths / access / bridges</x:v>
      </x:c>
      <x:c r="H60" s="7" t="str">
        <x:v>KGW November 2023 report; estimate dates not supplied</x:v>
      </x:c>
      <x:c r="I60" s="7" t="str">
        <x:v>https://flo.uri.sh/visualisation/15494950/embed</x:v>
      </x:c>
    </x:row>
    <x:row r="61" ht="46" customHeight="1">
      <x:c r="A61" s="8" t="n">
        <x:v>57</x:v>
      </x:c>
      <x:c r="B61" s="11" t="str">
        <x:v>Brooklyn Park</x:v>
      </x:c>
      <x:c r="C61" s="11" t="str">
        <x:v>Restroom Renovation</x:v>
      </x:c>
      <x:c r="D61" s="11" t="str">
        <x:v>Brooklyn Park</x:v>
      </x:c>
      <x:c r="E61" s="11" t="str">
        <x:v>- Replace the roof of Restrrom A
- This project derived from Building assessment</x:v>
      </x:c>
      <x:c r="F61" s="20" t="n">
        <x:v>28225</x:v>
      </x:c>
      <x:c r="G61" s="8" t="str">
        <x:v>Buildings / building systems</x:v>
      </x:c>
      <x:c r="H61" s="8" t="str">
        <x:v>KGW November 2023 report; estimate dates not supplied</x:v>
      </x:c>
      <x:c r="I61" s="8" t="str">
        <x:v>https://flo.uri.sh/visualisation/15494950/embed</x:v>
      </x:c>
    </x:row>
    <x:row r="62" ht="46" customHeight="1">
      <x:c r="A62" s="7" t="n">
        <x:v>58</x:v>
      </x:c>
      <x:c r="B62" s="12" t="str">
        <x:v>Brooklyn Park</x:v>
      </x:c>
      <x:c r="C62" s="12" t="str">
        <x:v>Brooklyn Park - Play Area Safety and ADA</x:v>
      </x:c>
      <x:c r="D62" s="12" t="str">
        <x:v>Brooklyn Park</x:v>
      </x:c>
      <x:c r="E62" s="12" t="str">
        <x:v>Removal and replacement of existing Wildwood play structures.  Wildwood play equipment is no longer manufactured.  Structures have outlived their useful life.</x:v>
      </x:c>
      <x:c r="F62" s="21" t="n">
        <x:v>120750</x:v>
      </x:c>
      <x:c r="G62" s="7" t="str">
        <x:v>Paths / access / bridges</x:v>
      </x:c>
      <x:c r="H62" s="7" t="str">
        <x:v>KGW November 2023 report; estimate dates not supplied</x:v>
      </x:c>
      <x:c r="I62" s="7" t="str">
        <x:v>https://flo.uri.sh/visualisation/15494950/embed</x:v>
      </x:c>
    </x:row>
    <x:row r="63" ht="46" customHeight="1">
      <x:c r="A63" s="8" t="n">
        <x:v>59</x:v>
      </x:c>
      <x:c r="B63" s="11" t="str">
        <x:v>Brooklyn Park</x:v>
      </x:c>
      <x:c r="C63" s="11" t="str">
        <x:v>Repair blacktop pathway near SE 16th</x:v>
      </x:c>
      <x:c r="D63" s="11" t="str">
        <x:v>Brooklyn Park</x:v>
      </x:c>
      <x:c r="E63" s="11" t="str">
        <x:v>Repair blacktop trail / pathway near SE 16th. Asphalt is heaved by tree roots in numerous locations.</x:v>
      </x:c>
      <x:c r="F63" s="20" t="n">
        <x:v>117605</x:v>
      </x:c>
      <x:c r="G63" s="8" t="str">
        <x:v>Paths / access / bridges</x:v>
      </x:c>
      <x:c r="H63" s="8" t="str">
        <x:v>KGW November 2023 report; estimate dates not supplied</x:v>
      </x:c>
      <x:c r="I63" s="8" t="str">
        <x:v>https://flo.uri.sh/visualisation/15494950/embed</x:v>
      </x:c>
    </x:row>
    <x:row r="64" ht="46" customHeight="1">
      <x:c r="A64" s="7" t="n">
        <x:v>60</x:v>
      </x:c>
      <x:c r="B64" s="12" t="str">
        <x:v>Brooklyn Park</x:v>
      </x:c>
      <x:c r="C64" s="12" t="str">
        <x:v>Renovate Basketball sport court at Brooklyn Park</x:v>
      </x:c>
      <x:c r="D64" s="12" t="str">
        <x:v>Basketball Court</x:v>
      </x:c>
      <x:c r="E64" s="12" t="str">
        <x:v>Fix or replace the Nike Resurf surface of the court that is rated 4 through courts' assessment</x:v>
      </x:c>
      <x:c r="F64" s="21" t="n">
        <x:v>114377</x:v>
      </x:c>
      <x:c r="G64" s="7" t="str">
        <x:v>Fields / courts / play</x:v>
      </x:c>
      <x:c r="H64" s="7" t="str">
        <x:v>KGW November 2023 report; estimate dates not supplied</x:v>
      </x:c>
      <x:c r="I64" s="7" t="str">
        <x:v>https://flo.uri.sh/visualisation/15494950/embed</x:v>
      </x:c>
    </x:row>
    <x:row r="65" ht="46" customHeight="1">
      <x:c r="A65" s="8" t="n">
        <x:v>61</x:v>
      </x:c>
      <x:c r="B65" s="11" t="str">
        <x:v>Brooklyn Park</x:v>
      </x:c>
      <x:c r="C65" s="11" t="str">
        <x:v>ESPC-III_Buildings Lighting to LEDs</x:v>
      </x:c>
      <x:c r="D65" s="11" t="str">
        <x:v>Restroom - Storage</x:v>
      </x:c>
      <x:c r="E65" s="11" t="str">
        <x:v>LED conversion for Exterior and Interior Lights</x:v>
      </x:c>
      <x:c r="F65" s="20" t="n">
        <x:v>11760</x:v>
      </x:c>
      <x:c r="G65" s="8" t="str">
        <x:v>Buildings / building systems</x:v>
      </x:c>
      <x:c r="H65" s="8" t="str">
        <x:v>KGW November 2023 report; estimate dates not supplied</x:v>
      </x:c>
      <x:c r="I65" s="8" t="str">
        <x:v>https://flo.uri.sh/visualisation/15494950/embed</x:v>
      </x:c>
    </x:row>
    <x:row r="66" ht="46" customHeight="1">
      <x:c r="A66" s="7" t="n">
        <x:v>62</x:v>
      </x:c>
      <x:c r="B66" s="12" t="str">
        <x:v>Brooklyn School Park</x:v>
      </x:c>
      <x:c r="C66" s="12" t="str">
        <x:v>Playground Surface Area</x:v>
      </x:c>
      <x:c r="D66" s="12" t="str">
        <x:v>Brooklyn School Park</x:v>
      </x:c>
      <x:c r="E66" s="12" t="str">
        <x:v>Playground Surfacing - EWF level is insufficient and a majority of the existing EWF has decomposed. Area should be completely excavated and new EWF added. 
Failed Inspection Point from WO 287133</x:v>
      </x:c>
      <x:c r="F66" s="21" t="n">
        <x:v>35281</x:v>
      </x:c>
      <x:c r="G66" s="7" t="str">
        <x:v>Fields / courts / play</x:v>
      </x:c>
      <x:c r="H66" s="7" t="str">
        <x:v>KGW November 2023 report; estimate dates not supplied</x:v>
      </x:c>
      <x:c r="I66" s="7" t="str">
        <x:v>https://flo.uri.sh/visualisation/15494950/embed</x:v>
      </x:c>
    </x:row>
    <x:row r="67" ht="46" customHeight="1">
      <x:c r="A67" s="8" t="n">
        <x:v>63</x:v>
      </x:c>
      <x:c r="B67" s="11" t="str">
        <x:v>Brooklyn School Park</x:v>
      </x:c>
      <x:c r="C67" s="11" t="str">
        <x:v>ESPC-III_Pathway Lighting to LEDs</x:v>
      </x:c>
      <x:c r="D67" s="11" t="str"/>
      <x:c r="E67" s="11" t="str">
        <x:v>Pathway Lighting Conversion to LEDs and Controls. Aprox: 9 Poles</x:v>
      </x:c>
      <x:c r="F67" s="20" t="n">
        <x:v>31753</x:v>
      </x:c>
      <x:c r="G67" s="8" t="str">
        <x:v>Paths / access / bridges</x:v>
      </x:c>
      <x:c r="H67" s="8" t="str">
        <x:v>KGW November 2023 report; estimate dates not supplied</x:v>
      </x:c>
      <x:c r="I67" s="8" t="str">
        <x:v>https://flo.uri.sh/visualisation/15494950/embed</x:v>
      </x:c>
    </x:row>
    <x:row r="68" ht="46" customHeight="1">
      <x:c r="A68" s="7" t="n">
        <x:v>64</x:v>
      </x:c>
      <x:c r="B68" s="12" t="str">
        <x:v>Brooklyn School Park</x:v>
      </x:c>
      <x:c r="C68" s="12" t="str">
        <x:v>Renovate Tennis sport court at Brooklyn School Park</x:v>
      </x:c>
      <x:c r="D68" s="12" t="str">
        <x:v>Tennis Court</x:v>
      </x:c>
      <x:c r="E68" s="12" t="str">
        <x:v>Fix or replace the Asphalt surface of the court that is rated 4 through courts' assessment</x:v>
      </x:c>
      <x:c r="F68" s="21" t="n">
        <x:v>1037930</x:v>
      </x:c>
      <x:c r="G68" s="7" t="str">
        <x:v>Fields / courts / play</x:v>
      </x:c>
      <x:c r="H68" s="7" t="str">
        <x:v>KGW November 2023 report; estimate dates not supplied</x:v>
      </x:c>
      <x:c r="I68" s="7" t="str">
        <x:v>https://flo.uri.sh/visualisation/15494950/embed</x:v>
      </x:c>
    </x:row>
    <x:row r="69" ht="46" customHeight="1">
      <x:c r="A69" s="8" t="n">
        <x:v>65</x:v>
      </x:c>
      <x:c r="B69" s="11" t="str">
        <x:v>Buckman Field</x:v>
      </x:c>
      <x:c r="C69" s="11" t="str">
        <x:v>Pathway Renovation</x:v>
      </x:c>
      <x:c r="D69" s="11" t="str">
        <x:v>Internal Pathway/ Sidewalk</x:v>
      </x:c>
      <x:c r="E69" s="11" t="str">
        <x:v>Replace the damaged pathway, trails and sidewalks that have been rated as 4 and 5 in Pathway assessment</x:v>
      </x:c>
      <x:c r="F69" s="20" t="n">
        <x:v>67071</x:v>
      </x:c>
      <x:c r="G69" s="8" t="str">
        <x:v>Paths / access / bridges</x:v>
      </x:c>
      <x:c r="H69" s="8" t="str">
        <x:v>KGW November 2023 report; estimate dates not supplied</x:v>
      </x:c>
      <x:c r="I69" s="8" t="str">
        <x:v>https://flo.uri.sh/visualisation/15494950/embed</x:v>
      </x:c>
    </x:row>
    <x:row r="70" ht="46" customHeight="1">
      <x:c r="A70" s="7" t="n">
        <x:v>66</x:v>
      </x:c>
      <x:c r="B70" s="12" t="str">
        <x:v>Buckman Field</x:v>
      </x:c>
      <x:c r="C70" s="12" t="str">
        <x:v>Renovate field track</x:v>
      </x:c>
      <x:c r="D70" s="12" t="str">
        <x:v>Sport track</x:v>
      </x:c>
      <x:c r="E70" s="12" t="str">
        <x:v>Buckman field track in need of significant repair/replacement
Sport track rated 4 or 5 in condition assessment</x:v>
      </x:c>
      <x:c r="F70" s="21" t="n">
        <x:v>510001</x:v>
      </x:c>
      <x:c r="G70" s="7" t="str">
        <x:v>Fields / courts / play</x:v>
      </x:c>
      <x:c r="H70" s="7" t="str">
        <x:v>KGW November 2023 report; estimate dates not supplied</x:v>
      </x:c>
      <x:c r="I70" s="7" t="str">
        <x:v>https://flo.uri.sh/visualisation/15494950/embed</x:v>
      </x:c>
    </x:row>
    <x:row r="71" ht="46" customHeight="1">
      <x:c r="A71" s="8" t="n">
        <x:v>67</x:v>
      </x:c>
      <x:c r="B71" s="11" t="str">
        <x:v>Buckman Field</x:v>
      </x:c>
      <x:c r="C71" s="11" t="str">
        <x:v>Replace old HVAC system</x:v>
      </x:c>
      <x:c r="D71" s="11" t="str">
        <x:v>Portland Tennis Center and Field house</x:v>
      </x:c>
      <x:c r="E71" s="11" t="str">
        <x:v>Placeholder: replace HVAC system that was installed before 2000 in Tennis center and Buckman Field House</x:v>
      </x:c>
      <x:c r="F71" s="20" t="n">
        <x:v>3060005</x:v>
      </x:c>
      <x:c r="G71" s="8" t="str">
        <x:v>Buildings / building systems</x:v>
      </x:c>
      <x:c r="H71" s="8" t="str">
        <x:v>KGW November 2023 report; estimate dates not supplied</x:v>
      </x:c>
      <x:c r="I71" s="8" t="str">
        <x:v>https://flo.uri.sh/visualisation/15494950/embed</x:v>
      </x:c>
    </x:row>
    <x:row r="72" ht="46" customHeight="1">
      <x:c r="A72" s="7" t="n">
        <x:v>68</x:v>
      </x:c>
      <x:c r="B72" s="12" t="str">
        <x:v>Buckman Field</x:v>
      </x:c>
      <x:c r="C72" s="12" t="str">
        <x:v>Replace tennis bubble with new structure</x:v>
      </x:c>
      <x:c r="D72" s="12" t="str">
        <x:v>Tennis bubble</x:v>
      </x:c>
      <x:c r="E72" s="12" t="str">
        <x:v>Issue: Tennis bubble fall during power outage causing other equipment to break. 
Recommendation: Replace the bubble with steel structure</x:v>
      </x:c>
      <x:c r="F72" s="21" t="n">
        <x:v>20000000</x:v>
      </x:c>
      <x:c r="G72" s="7" t="str">
        <x:v>Fields / courts / play</x:v>
      </x:c>
      <x:c r="H72" s="7" t="str">
        <x:v>KGW November 2023 report; estimate dates not supplied</x:v>
      </x:c>
      <x:c r="I72" s="7" t="str">
        <x:v>https://flo.uri.sh/visualisation/15494950/embed</x:v>
      </x:c>
    </x:row>
    <x:row r="73" ht="46" customHeight="1">
      <x:c r="A73" s="8" t="n">
        <x:v>69</x:v>
      </x:c>
      <x:c r="B73" s="11" t="str">
        <x:v>Buckman Field</x:v>
      </x:c>
      <x:c r="C73" s="11" t="str">
        <x:v>Renovate parking lot_Parking Area A</x:v>
      </x:c>
      <x:c r="D73" s="11" t="str">
        <x:v>Parking Area A</x:v>
      </x:c>
      <x:c r="E73" s="11" t="str">
        <x:v>Repair parking lot that was rated 4 in condition assessment. Repair include surface, drainage and curb. approx area= 10548 sq.ft</x:v>
      </x:c>
      <x:c r="F73" s="20" t="n">
        <x:v>172464</x:v>
      </x:c>
      <x:c r="G73" s="8" t="str">
        <x:v>Utilities / lighting / drainage</x:v>
      </x:c>
      <x:c r="H73" s="8" t="str">
        <x:v>KGW November 2023 report; estimate dates not supplied</x:v>
      </x:c>
      <x:c r="I73" s="8" t="str">
        <x:v>https://flo.uri.sh/visualisation/15494950/embed</x:v>
      </x:c>
    </x:row>
    <x:row r="74" ht="46" customHeight="1">
      <x:c r="A74" s="7" t="n">
        <x:v>70</x:v>
      </x:c>
      <x:c r="B74" s="12" t="str">
        <x:v>Buckman Field</x:v>
      </x:c>
      <x:c r="C74" s="12" t="str">
        <x:v>ESPC-III_Buildings Lighting to LEDs</x:v>
      </x:c>
      <x:c r="D74" s="12" t="str">
        <x:v>Storage, Tennis</x:v>
      </x:c>
      <x:c r="E74" s="12" t="str">
        <x:v>ESPC: LED conversion for Exterior and Interior Lights
WO: Replacment of out old florecent fixtures in tennis building</x:v>
      </x:c>
      <x:c r="F74" s="21" t="n">
        <x:v>11760</x:v>
      </x:c>
      <x:c r="G74" s="7" t="str">
        <x:v>Buildings / building systems</x:v>
      </x:c>
      <x:c r="H74" s="7" t="str">
        <x:v>KGW November 2023 report; estimate dates not supplied</x:v>
      </x:c>
      <x:c r="I74" s="7" t="str">
        <x:v>https://flo.uri.sh/visualisation/15494950/embed</x:v>
      </x:c>
    </x:row>
    <x:row r="75" ht="46" customHeight="1">
      <x:c r="A75" s="8" t="n">
        <x:v>71</x:v>
      </x:c>
      <x:c r="B75" s="11" t="str">
        <x:v>Buckman Field</x:v>
      </x:c>
      <x:c r="C75" s="11" t="str">
        <x:v>Repair damaged parts in Bubble</x:v>
      </x:c>
      <x:c r="D75" s="11" t="str">
        <x:v>Tennis Center Bubble</x:v>
      </x:c>
      <x:c r="E75" s="11" t="str">
        <x:v>The bubble went down due to either the power temporarily going out, or the weight from freezing rain/snow or likely both.
All 5 light fixtures have some damage, but the worst situation is the fixture in the center. On-top of the fixture there is a metal protective device that prevents the lights from breaking when the bubble is lowered for repair. Due to the additional weight of the snow, the device, shaped like a hook, punctured the fabric. It is now stuck in the fabric. So, if the bubble goes up the fixture will go up and if it goes down the fixture will go down. To make maters worse the base of the fixture has broken from the plate it was installed to. This is the most dangerous part of the situation and the most pressing issue</x:v>
      </x:c>
      <x:c r="F75" s="20" t="n">
        <x:v>109346</x:v>
      </x:c>
      <x:c r="G75" s="8" t="str">
        <x:v>Fields / courts / play</x:v>
      </x:c>
      <x:c r="H75" s="8" t="str">
        <x:v>KGW November 2023 report; estimate dates not supplied</x:v>
      </x:c>
      <x:c r="I75" s="8" t="str">
        <x:v>https://flo.uri.sh/visualisation/15494950/embed</x:v>
      </x:c>
    </x:row>
    <x:row r="76" ht="46" customHeight="1">
      <x:c r="A76" s="7" t="n">
        <x:v>72</x:v>
      </x:c>
      <x:c r="B76" s="12" t="str">
        <x:v>Buckman Field</x:v>
      </x:c>
      <x:c r="C76" s="12" t="str">
        <x:v>Building renovation</x:v>
      </x:c>
      <x:c r="D76" s="12" t="str">
        <x:v>Storgae B</x:v>
      </x:c>
      <x:c r="E76" s="12" t="str">
        <x:v>Renovate building rated 4 or 5 in building assessment</x:v>
      </x:c>
      <x:c r="F76" s="21" t="n">
        <x:v>10000</x:v>
      </x:c>
      <x:c r="G76" s="7" t="str">
        <x:v>Buildings / building systems</x:v>
      </x:c>
      <x:c r="H76" s="7" t="str">
        <x:v>KGW November 2023 report; estimate dates not supplied</x:v>
      </x:c>
      <x:c r="I76" s="7" t="str">
        <x:v>https://flo.uri.sh/visualisation/15494950/embed</x:v>
      </x:c>
    </x:row>
    <x:row r="77" ht="46" customHeight="1">
      <x:c r="A77" s="8" t="n">
        <x:v>73</x:v>
      </x:c>
      <x:c r="B77" s="11" t="str">
        <x:v>Buckman Field</x:v>
      </x:c>
      <x:c r="C77" s="11" t="str">
        <x:v>Replace Backflow preventer device</x:v>
      </x:c>
      <x:c r="D77" s="11" t="str">
        <x:v>Portland Tennis Center</x:v>
      </x:c>
      <x:c r="E77" s="11" t="str">
        <x:v>- Replace out of compliance backflow preventers
- Assembly: Double Check Valve Assembly (DCVA)
- Move to property line, if needed
- Hazard: Right Of Way (ROW)
- SSee components for detail</x:v>
      </x:c>
      <x:c r="F77" s="20" t="n">
        <x:v>10000</x:v>
      </x:c>
      <x:c r="G77" s="8" t="str">
        <x:v>Fields / courts / play</x:v>
      </x:c>
      <x:c r="H77" s="8" t="str">
        <x:v>KGW November 2023 report; estimate dates not supplied</x:v>
      </x:c>
      <x:c r="I77" s="8" t="str">
        <x:v>https://flo.uri.sh/visualisation/15494950/embed</x:v>
      </x:c>
    </x:row>
    <x:row r="78" ht="46" customHeight="1">
      <x:c r="A78" s="7" t="n">
        <x:v>74</x:v>
      </x:c>
      <x:c r="B78" s="12" t="str">
        <x:v>Buckman Field</x:v>
      </x:c>
      <x:c r="C78" s="12" t="str">
        <x:v>Replace sport field surface</x:v>
      </x:c>
      <x:c r="D78" s="12" t="str">
        <x:v>Sport field</x:v>
      </x:c>
      <x:c r="E78" s="12" t="str">
        <x:v>Recurrence project to replace sport field turf every 10 years</x:v>
      </x:c>
      <x:c r="F78" s="21" t="n">
        <x:v>1530003</x:v>
      </x:c>
      <x:c r="G78" s="7" t="str">
        <x:v>Fields / courts / play</x:v>
      </x:c>
      <x:c r="H78" s="7" t="str">
        <x:v>KGW November 2023 report; estimate dates not supplied</x:v>
      </x:c>
      <x:c r="I78" s="7" t="str">
        <x:v>https://flo.uri.sh/visualisation/15494950/embed</x:v>
      </x:c>
    </x:row>
    <x:row r="79" ht="46" customHeight="1">
      <x:c r="A79" s="8" t="n">
        <x:v>75</x:v>
      </x:c>
      <x:c r="B79" s="11" t="str">
        <x:v>Burlingame Park</x:v>
      </x:c>
      <x:c r="C79" s="11" t="str">
        <x:v>Playground renovation</x:v>
      </x:c>
      <x:c r="D79" s="11" t="str">
        <x:v>Play Area A</x:v>
      </x:c>
      <x:c r="E79" s="11" t="str">
        <x:v>Renovation or repair playground that was rated as 4
 during playground assessment in 2020</x:v>
      </x:c>
      <x:c r="F79" s="20" t="n">
        <x:v>68265</x:v>
      </x:c>
      <x:c r="G79" s="8" t="str">
        <x:v>Fields / courts / play</x:v>
      </x:c>
      <x:c r="H79" s="8" t="str">
        <x:v>KGW November 2023 report; estimate dates not supplied</x:v>
      </x:c>
      <x:c r="I79" s="8" t="str">
        <x:v>https://flo.uri.sh/visualisation/15494950/embed</x:v>
      </x:c>
    </x:row>
    <x:row r="80" ht="46" customHeight="1">
      <x:c r="A80" s="7" t="n">
        <x:v>76</x:v>
      </x:c>
      <x:c r="B80" s="12" t="str">
        <x:v>Burlingame Park</x:v>
      </x:c>
      <x:c r="C80" s="12" t="str">
        <x:v>Tennis Courts: Renovation</x:v>
      </x:c>
      <x:c r="D80" s="12" t="str">
        <x:v>Burlingame Park</x:v>
      </x:c>
      <x:c r="E80" s="12" t="str">
        <x:v>Renovate tennis courts.</x:v>
      </x:c>
      <x:c r="F80" s="21" t="n">
        <x:v>22929</x:v>
      </x:c>
      <x:c r="G80" s="7" t="str">
        <x:v>Fields / courts / play</x:v>
      </x:c>
      <x:c r="H80" s="7" t="str">
        <x:v>KGW November 2023 report; estimate dates not supplied</x:v>
      </x:c>
      <x:c r="I80" s="7" t="str">
        <x:v>https://flo.uri.sh/visualisation/15494950/embed</x:v>
      </x:c>
    </x:row>
    <x:row r="81" ht="46" customHeight="1">
      <x:c r="A81" s="8" t="n">
        <x:v>77</x:v>
      </x:c>
      <x:c r="B81" s="11" t="str">
        <x:v>Burlingame Park</x:v>
      </x:c>
      <x:c r="C81" s="11" t="str">
        <x:v>Playground swingset footprint replacement</x:v>
      </x:c>
      <x:c r="D81" s="11" t="str">
        <x:v>Burlingame Park</x:v>
      </x:c>
      <x:c r="E81" s="11" t="str">
        <x:v>Temporary removal, excavation, drainage, fabric, rock, chips &amp; replacement of existing swing sets.  Sets were improperly installed on turf with exposed concrete footings close to the fall zone.Note that these improvements could trigger the requirement to bring other aspects of the park up to ADA.</x:v>
      </x:c>
      <x:c r="F81" s="20" t="n">
        <x:v>21859</x:v>
      </x:c>
      <x:c r="G81" s="8" t="str">
        <x:v>Paths / access / bridges</x:v>
      </x:c>
      <x:c r="H81" s="8" t="str">
        <x:v>KGW November 2023 report; estimate dates not supplied</x:v>
      </x:c>
      <x:c r="I81" s="8" t="str">
        <x:v>https://flo.uri.sh/visualisation/15494950/embed</x:v>
      </x:c>
    </x:row>
    <x:row r="82" ht="46" customHeight="1">
      <x:c r="A82" s="7" t="n">
        <x:v>78</x:v>
      </x:c>
      <x:c r="B82" s="12" t="str">
        <x:v>Burlingame Park</x:v>
      </x:c>
      <x:c r="C82" s="12" t="str">
        <x:v>Pathway Renovation</x:v>
      </x:c>
      <x:c r="D82" s="12" t="str">
        <x:v>Internal Pathway/ Sidewalk</x:v>
      </x:c>
      <x:c r="E82" s="12" t="str">
        <x:v>Replace the damaged pathway, trails and sidewalks that have been rated as 4 and 5 in Pathway assessment</x:v>
      </x:c>
      <x:c r="F82" s="21" t="n">
        <x:v>19788</x:v>
      </x:c>
      <x:c r="G82" s="7" t="str">
        <x:v>Paths / access / bridges</x:v>
      </x:c>
      <x:c r="H82" s="7" t="str">
        <x:v>KGW November 2023 report; estimate dates not supplied</x:v>
      </x:c>
      <x:c r="I82" s="7" t="str">
        <x:v>https://flo.uri.sh/visualisation/15494950/embed</x:v>
      </x:c>
    </x:row>
    <x:row r="83" ht="46" customHeight="1">
      <x:c r="A83" s="8" t="n">
        <x:v>79</x:v>
      </x:c>
      <x:c r="B83" s="11" t="str">
        <x:v>Burlingame Park</x:v>
      </x:c>
      <x:c r="C83" s="11" t="str">
        <x:v>Renovate sport field</x:v>
      </x:c>
      <x:c r="D83" s="11" t="str">
        <x:v>Ball Field 1</x:v>
      </x:c>
      <x:c r="E83" s="11" t="str">
        <x:v>Sport fields rated 4 or 5 in condition assessment</x:v>
      </x:c>
      <x:c r="F83" s="20" t="n">
        <x:v>162976</x:v>
      </x:c>
      <x:c r="G83" s="8" t="str">
        <x:v>Fields / courts / play</x:v>
      </x:c>
      <x:c r="H83" s="8" t="str">
        <x:v>KGW November 2023 report; estimate dates not supplied</x:v>
      </x:c>
      <x:c r="I83" s="8" t="str">
        <x:v>https://flo.uri.sh/visualisation/15494950/embed</x:v>
      </x:c>
    </x:row>
    <x:row r="84" ht="46" customHeight="1">
      <x:c r="A84" s="7" t="n">
        <x:v>80</x:v>
      </x:c>
      <x:c r="B84" s="12" t="str">
        <x:v>Butterfly Park</x:v>
      </x:c>
      <x:c r="C84" s="12" t="str">
        <x:v>Ecological Restoration_ Butterfly Park</x:v>
      </x:c>
      <x:c r="D84" s="12" t="str"/>
      <x:c r="E84" s="12" t="str">
        <x:v>Placholder for Ecological health restoration
Part of (Willamette Moorage and Butterfly Park) project</x:v>
      </x:c>
      <x:c r="F84" s="21" t="n">
        <x:v>73503</x:v>
      </x:c>
      <x:c r="G84" s="7" t="str">
        <x:v>Other site infrastructure</x:v>
      </x:c>
      <x:c r="H84" s="7" t="str">
        <x:v>KGW November 2023 report; estimate dates not supplied</x:v>
      </x:c>
      <x:c r="I84" s="7" t="str">
        <x:v>https://flo.uri.sh/visualisation/15494950/embed</x:v>
      </x:c>
    </x:row>
    <x:row r="85" ht="46" customHeight="1">
      <x:c r="A85" s="8" t="n">
        <x:v>81</x:v>
      </x:c>
      <x:c r="B85" s="11" t="str">
        <x:v>Butterfly Park</x:v>
      </x:c>
      <x:c r="C85" s="11" t="str">
        <x:v>Replace Backflow preventer device</x:v>
      </x:c>
      <x:c r="D85" s="11" t="str">
        <x:v>Property</x:v>
      </x:c>
      <x:c r="E85" s="11" t="str">
        <x:v>- Replace out of compliance backflow preventer
- Assembly: Double Check Valve Assembly (DCVA)
- Premises Isolation (PI): 1.5" Reduced Pressure (RP)+ Enclosure. Serial # 4086005
- Move to property line, if needed
- Hazard: Flood Plain</x:v>
      </x:c>
      <x:c r="F85" s="20" t="n">
        <x:v>10000</x:v>
      </x:c>
      <x:c r="G85" s="8" t="str">
        <x:v>Utilities / lighting / drainage</x:v>
      </x:c>
      <x:c r="H85" s="8" t="str">
        <x:v>KGW November 2023 report; estimate dates not supplied</x:v>
      </x:c>
      <x:c r="I85" s="8" t="str">
        <x:v>https://flo.uri.sh/visualisation/15494950/embed</x:v>
      </x:c>
    </x:row>
    <x:row r="86" ht="46" customHeight="1">
      <x:c r="A86" s="7" t="n">
        <x:v>82</x:v>
      </x:c>
      <x:c r="B86" s="12" t="str">
        <x:v>Buttes Natural Area</x:v>
      </x:c>
      <x:c r="C86" s="12" t="str">
        <x:v>Pathway Renovation</x:v>
      </x:c>
      <x:c r="D86" s="12" t="str">
        <x:v>Buttes Natural Area</x:v>
      </x:c>
      <x:c r="E86" s="12" t="str">
        <x:v>Replace the damaged pathway, trails and sidewalks that have been rated as 4 and 5 in Pathway assessment</x:v>
      </x:c>
      <x:c r="F86" s="21" t="n">
        <x:v>47042</x:v>
      </x:c>
      <x:c r="G86" s="7" t="str">
        <x:v>Paths / access / bridges</x:v>
      </x:c>
      <x:c r="H86" s="7" t="str">
        <x:v>KGW November 2023 report; estimate dates not supplied</x:v>
      </x:c>
      <x:c r="I86" s="7" t="str">
        <x:v>https://flo.uri.sh/visualisation/15494950/embed</x:v>
      </x:c>
    </x:row>
    <x:row r="87" ht="46" customHeight="1">
      <x:c r="A87" s="8" t="n">
        <x:v>83</x:v>
      </x:c>
      <x:c r="B87" s="11" t="str">
        <x:v>Cathedral Park</x:v>
      </x:c>
      <x:c r="C87" s="11" t="str">
        <x:v>Improve Lower Park</x:v>
      </x:c>
      <x:c r="D87" s="11" t="str">
        <x:v>Cathedral Park</x:v>
      </x:c>
      <x:c r="E87" s="11" t="str">
        <x:v>Improvements to lower area of park (largest portion) including utilities, retaining walls, paving, landscaping and site furnishings.</x:v>
      </x:c>
      <x:c r="F87" s="20" t="n">
        <x:v>940393</x:v>
      </x:c>
      <x:c r="G87" s="8" t="str">
        <x:v>Other site infrastructure</x:v>
      </x:c>
      <x:c r="H87" s="8" t="str">
        <x:v>KGW November 2023 report; estimate dates not supplied</x:v>
      </x:c>
      <x:c r="I87" s="8" t="str">
        <x:v>https://flo.uri.sh/visualisation/15494950/embed</x:v>
      </x:c>
    </x:row>
    <x:row r="88" ht="46" customHeight="1">
      <x:c r="A88" s="7" t="n">
        <x:v>84</x:v>
      </x:c>
      <x:c r="B88" s="12" t="str">
        <x:v>Cathedral Park</x:v>
      </x:c>
      <x:c r="C88" s="12" t="str">
        <x:v>Crawford Street Access</x:v>
      </x:c>
      <x:c r="D88" s="12" t="str">
        <x:v>Cathedral Park</x:v>
      </x:c>
      <x:c r="E88" s="12" t="str">
        <x:v>Improvements to access through park on Crawford Street, including utilities, paving and landscaping.</x:v>
      </x:c>
      <x:c r="F88" s="21" t="n">
        <x:v>687288</x:v>
      </x:c>
      <x:c r="G88" s="7" t="str">
        <x:v>Other site infrastructure</x:v>
      </x:c>
      <x:c r="H88" s="7" t="str">
        <x:v>KGW November 2023 report; estimate dates not supplied</x:v>
      </x:c>
      <x:c r="I88" s="7" t="str">
        <x:v>https://flo.uri.sh/visualisation/15494950/embed</x:v>
      </x:c>
    </x:row>
    <x:row r="89" ht="46" customHeight="1">
      <x:c r="A89" s="8" t="n">
        <x:v>85</x:v>
      </x:c>
      <x:c r="B89" s="11" t="str">
        <x:v>Cathedral Park</x:v>
      </x:c>
      <x:c r="C89" s="11" t="str">
        <x:v>Dock &amp; Log Boom Replacement</x:v>
      </x:c>
      <x:c r="D89" s="11" t="str">
        <x:v>Cathedral Park</x:v>
      </x:c>
      <x:c r="E89" s="11" t="str">
        <x:v>- Replace 6 failed dock sections and 2 log booms.  At ramp and fishing dock.
- The boom logs between the northern most pillars have come disconnected there by allowing logs to push up against the dock again.</x:v>
      </x:c>
      <x:c r="F89" s="20" t="n">
        <x:v>588024</x:v>
      </x:c>
      <x:c r="G89" s="8" t="str">
        <x:v>Paths / access / bridges</x:v>
      </x:c>
      <x:c r="H89" s="8" t="str">
        <x:v>KGW November 2023 report; estimate dates not supplied</x:v>
      </x:c>
      <x:c r="I89" s="8" t="str">
        <x:v>https://flo.uri.sh/visualisation/15494950/embed</x:v>
      </x:c>
    </x:row>
    <x:row r="90" ht="46" customHeight="1">
      <x:c r="A90" s="7" t="n">
        <x:v>86</x:v>
      </x:c>
      <x:c r="B90" s="12" t="str">
        <x:v>Cathedral Park</x:v>
      </x:c>
      <x:c r="C90" s="12" t="str">
        <x:v>Improve Upland Habitat</x:v>
      </x:c>
      <x:c r="D90" s="12" t="str">
        <x:v>Cathedral Park</x:v>
      </x:c>
      <x:c r="E90" s="12" t="str">
        <x:v>Improvements to upland habitat on North side of bridge adjacent to developed area.</x:v>
      </x:c>
      <x:c r="F90" s="21" t="n">
        <x:v>348803</x:v>
      </x:c>
      <x:c r="G90" s="7" t="str">
        <x:v>Paths / access / bridges</x:v>
      </x:c>
      <x:c r="H90" s="7" t="str">
        <x:v>KGW November 2023 report; estimate dates not supplied</x:v>
      </x:c>
      <x:c r="I90" s="7" t="str">
        <x:v>https://flo.uri.sh/visualisation/15494950/embed</x:v>
      </x:c>
    </x:row>
    <x:row r="91" ht="46" customHeight="1">
      <x:c r="A91" s="8" t="n">
        <x:v>87</x:v>
      </x:c>
      <x:c r="B91" s="11" t="str">
        <x:v>Cathedral Park</x:v>
      </x:c>
      <x:c r="C91" s="11" t="str">
        <x:v>Renovate parking lot_Parking Area A and B</x:v>
      </x:c>
      <x:c r="D91" s="11" t="str">
        <x:v>Parking Area A and B</x:v>
      </x:c>
      <x:c r="E91" s="11" t="str">
        <x:v>Repair parking lot that was rated 5 in condition assessment. Repair include surface, drainage and curb. approx area= 111428 sq.ft</x:v>
      </x:c>
      <x:c r="F91" s="20" t="n">
        <x:v>3269099</x:v>
      </x:c>
      <x:c r="G91" s="8" t="str">
        <x:v>Utilities / lighting / drainage</x:v>
      </x:c>
      <x:c r="H91" s="8" t="str">
        <x:v>KGW November 2023 report; estimate dates not supplied</x:v>
      </x:c>
      <x:c r="I91" s="8" t="str">
        <x:v>https://flo.uri.sh/visualisation/15494950/embed</x:v>
      </x:c>
    </x:row>
    <x:row r="92" ht="46" customHeight="1">
      <x:c r="A92" s="7" t="n">
        <x:v>88</x:v>
      </x:c>
      <x:c r="B92" s="12" t="str">
        <x:v>Cathedral Park</x:v>
      </x:c>
      <x:c r="C92" s="12" t="str">
        <x:v>Pathway Renovation</x:v>
      </x:c>
      <x:c r="D92" s="12" t="str">
        <x:v>Cathedral Park</x:v>
      </x:c>
      <x:c r="E92" s="12" t="str">
        <x:v>Replace the damaged pathway, trails and sidewalks that have been rated as 4 and 5 in Pathway assessment</x:v>
      </x:c>
      <x:c r="F92" s="21" t="n">
        <x:v>294012</x:v>
      </x:c>
      <x:c r="G92" s="7" t="str">
        <x:v>Paths / access / bridges</x:v>
      </x:c>
      <x:c r="H92" s="7" t="str">
        <x:v>KGW November 2023 report; estimate dates not supplied</x:v>
      </x:c>
      <x:c r="I92" s="7" t="str">
        <x:v>https://flo.uri.sh/visualisation/15494950/embed</x:v>
      </x:c>
    </x:row>
    <x:row r="93" ht="46" customHeight="1">
      <x:c r="A93" s="8" t="n">
        <x:v>89</x:v>
      </x:c>
      <x:c r="B93" s="11" t="str">
        <x:v>Cathedral Park</x:v>
      </x:c>
      <x:c r="C93" s="11" t="str">
        <x:v>Improve Waterfront</x:v>
      </x:c>
      <x:c r="D93" s="11" t="str">
        <x:v>Cathedral Park</x:v>
      </x:c>
      <x:c r="E93" s="11" t="str">
        <x:v>Improvements to waterfront area of park including utilities, retaining walls, paving, landscaping and habitat features and site furninshings.  Dock = separate project.</x:v>
      </x:c>
      <x:c r="F93" s="20" t="n">
        <x:v>2909990</x:v>
      </x:c>
      <x:c r="G93" s="8" t="str">
        <x:v>Utilities / lighting / drainage</x:v>
      </x:c>
      <x:c r="H93" s="8" t="str">
        <x:v>KGW November 2023 report; estimate dates not supplied</x:v>
      </x:c>
      <x:c r="I93" s="8" t="str">
        <x:v>https://flo.uri.sh/visualisation/15494950/embed</x:v>
      </x:c>
    </x:row>
    <x:row r="94" ht="46" customHeight="1">
      <x:c r="A94" s="7" t="n">
        <x:v>90</x:v>
      </x:c>
      <x:c r="B94" s="12" t="str">
        <x:v>Cathedral Park</x:v>
      </x:c>
      <x:c r="C94" s="12" t="str">
        <x:v>Improve Upper Park</x:v>
      </x:c>
      <x:c r="D94" s="12" t="str">
        <x:v>Cathedral Park</x:v>
      </x:c>
      <x:c r="E94" s="12" t="str">
        <x:v>Improvements to upper area of park (eastern portion) including retaining walls, paving and stairs, landscaping and site furnishings.</x:v>
      </x:c>
      <x:c r="F94" s="21" t="n">
        <x:v>2643848</x:v>
      </x:c>
      <x:c r="G94" s="7" t="str">
        <x:v>Paths / access / bridges</x:v>
      </x:c>
      <x:c r="H94" s="7" t="str">
        <x:v>KGW November 2023 report; estimate dates not supplied</x:v>
      </x:c>
      <x:c r="I94" s="7" t="str">
        <x:v>https://flo.uri.sh/visualisation/15494950/embed</x:v>
      </x:c>
    </x:row>
    <x:row r="95" ht="46" customHeight="1">
      <x:c r="A95" s="8" t="n">
        <x:v>91</x:v>
      </x:c>
      <x:c r="B95" s="11" t="str">
        <x:v>Cathedral Park</x:v>
      </x:c>
      <x:c r="C95" s="11" t="str">
        <x:v>Replace Backflow preventer device</x:v>
      </x:c>
      <x:c r="D95" s="11" t="str">
        <x:v>Irrigation and Potable water</x:v>
      </x:c>
      <x:c r="E95" s="11" t="str">
        <x:v>- Replace out of compliance backflow preventers
- Assembly: Double Check Valve Assembly (DCVA)
- Move to property line, if needed
- Hazard: well Site
- See components for detail</x:v>
      </x:c>
      <x:c r="F95" s="20" t="n">
        <x:v>18000</x:v>
      </x:c>
      <x:c r="G95" s="8" t="str">
        <x:v>Utilities / lighting / drainage</x:v>
      </x:c>
      <x:c r="H95" s="8" t="str">
        <x:v>KGW November 2023 report; estimate dates not supplied</x:v>
      </x:c>
      <x:c r="I95" s="8" t="str">
        <x:v>https://flo.uri.sh/visualisation/15494950/embed</x:v>
      </x:c>
    </x:row>
    <x:row r="96" ht="46" customHeight="1">
      <x:c r="A96" s="7" t="n">
        <x:v>92</x:v>
      </x:c>
      <x:c r="B96" s="12" t="str">
        <x:v>Cathedral Park</x:v>
      </x:c>
      <x:c r="C96" s="12" t="str">
        <x:v>Renovate parking lot_Parking Area C</x:v>
      </x:c>
      <x:c r="D96" s="12" t="str">
        <x:v>Parking Area C</x:v>
      </x:c>
      <x:c r="E96" s="12" t="str">
        <x:v>Repair parking lot that was rated 4 in condition assessment. Repair include surface, drainage and curb. approx area= 10792 sq.ft</x:v>
      </x:c>
      <x:c r="F96" s="21" t="n">
        <x:v>176448</x:v>
      </x:c>
      <x:c r="G96" s="7" t="str">
        <x:v>Utilities / lighting / drainage</x:v>
      </x:c>
      <x:c r="H96" s="7" t="str">
        <x:v>KGW November 2023 report; estimate dates not supplied</x:v>
      </x:c>
      <x:c r="I96" s="7" t="str">
        <x:v>https://flo.uri.sh/visualisation/15494950/embed</x:v>
      </x:c>
    </x:row>
    <x:row r="97" ht="46" customHeight="1">
      <x:c r="A97" s="8" t="n">
        <x:v>93</x:v>
      </x:c>
      <x:c r="B97" s="11" t="str">
        <x:v>Cathedral Park</x:v>
      </x:c>
      <x:c r="C97" s="11" t="str">
        <x:v>Hauling dock sections from shoreline</x:v>
      </x:c>
      <x:c r="D97" s="11" t="str">
        <x:v>Boat Ramp</x:v>
      </x:c>
      <x:c r="E97" s="11" t="str">
        <x:v>Remove dock sections from shoreline sometime in mid-April.  Contractor will lift dock sections to shore/upland for dismantling and haul-off.</x:v>
      </x:c>
      <x:c r="F97" s="20" t="n">
        <x:v>17357</x:v>
      </x:c>
      <x:c r="G97" s="8" t="str">
        <x:v>Paths / access / bridges</x:v>
      </x:c>
      <x:c r="H97" s="8" t="str">
        <x:v>KGW November 2023 report; estimate dates not supplied</x:v>
      </x:c>
      <x:c r="I97" s="8" t="str">
        <x:v>https://flo.uri.sh/visualisation/15494950/embed</x:v>
      </x:c>
    </x:row>
    <x:row r="98" ht="46" customHeight="1">
      <x:c r="A98" s="7" t="n">
        <x:v>94</x:v>
      </x:c>
      <x:c r="B98" s="12" t="str">
        <x:v>Cathedral Park</x:v>
      </x:c>
      <x:c r="C98" s="12" t="str">
        <x:v>Cathedral Park Master Plan</x:v>
      </x:c>
      <x:c r="D98" s="12" t="str"/>
      <x:c r="E98" s="12" t="str">
        <x:v>Cathedral Park MP Improvements</x:v>
      </x:c>
      <x:c r="F98" s="21" t="n">
        <x:v>10413957</x:v>
      </x:c>
      <x:c r="G98" s="7" t="str">
        <x:v>Other site infrastructure</x:v>
      </x:c>
      <x:c r="H98" s="7" t="str">
        <x:v>KGW November 2023 report; estimate dates not supplied</x:v>
      </x:c>
      <x:c r="I98" s="7" t="str">
        <x:v>https://flo.uri.sh/visualisation/15494950/embed</x:v>
      </x:c>
    </x:row>
    <x:row r="99" ht="46" customHeight="1">
      <x:c r="A99" s="8" t="n">
        <x:v>95</x:v>
      </x:c>
      <x:c r="B99" s="11" t="str">
        <x:v>Cathedral Park</x:v>
      </x:c>
      <x:c r="C99" s="11" t="str">
        <x:v>Improve Middle Park</x:v>
      </x:c>
      <x:c r="D99" s="11" t="str">
        <x:v>Cathedral Park</x:v>
      </x:c>
      <x:c r="E99" s="11" t="str">
        <x:v>Improvements to middle area of park under the bridge including structures, paving, landscaping and site furnishings.</x:v>
      </x:c>
      <x:c r="F99" s="20" t="n">
        <x:v>1897322</x:v>
      </x:c>
      <x:c r="G99" s="8" t="str">
        <x:v>Paths / access / bridges</x:v>
      </x:c>
      <x:c r="H99" s="8" t="str">
        <x:v>KGW November 2023 report; estimate dates not supplied</x:v>
      </x:c>
      <x:c r="I99" s="8" t="str">
        <x:v>https://flo.uri.sh/visualisation/15494950/embed</x:v>
      </x:c>
    </x:row>
    <x:row r="100" ht="46" customHeight="1">
      <x:c r="A100" s="7" t="n">
        <x:v>96</x:v>
      </x:c>
      <x:c r="B100" s="12" t="str">
        <x:v>Catkin Marsh Natural Area</x:v>
      </x:c>
      <x:c r="C100" s="12" t="str">
        <x:v>Ecological Restoration_ Catkin Marsh Natural Area</x:v>
      </x:c>
      <x:c r="D100" s="12" t="str"/>
      <x:c r="E100" s="12" t="str">
        <x:v>Placholder for Ecological health restoration</x:v>
      </x:c>
      <x:c r="F100" s="21" t="n">
        <x:v>147006</x:v>
      </x:c>
      <x:c r="G100" s="7" t="str">
        <x:v>Other site infrastructure</x:v>
      </x:c>
      <x:c r="H100" s="7" t="str">
        <x:v>KGW November 2023 report; estimate dates not supplied</x:v>
      </x:c>
      <x:c r="I100" s="7" t="str">
        <x:v>https://flo.uri.sh/visualisation/15494950/embed</x:v>
      </x:c>
    </x:row>
    <x:row r="101" ht="46" customHeight="1">
      <x:c r="A101" s="8" t="n">
        <x:v>97</x:v>
      </x:c>
      <x:c r="B101" s="11" t="str">
        <x:v>Centennial Park Community Garden</x:v>
      </x:c>
      <x:c r="C101" s="11" t="str">
        <x:v>Develop Community Garden</x:v>
      </x:c>
      <x:c r="D101" s="11" t="str">
        <x:v>Community Garden</x:v>
      </x:c>
      <x:c r="E101" s="11" t="str">
        <x:v>Develop a 10,000 sq ft community garden at Centennial Learning Center. Funded by grant, general fund and in kind donation from the Water Bureau. 17630 SE Main Street</x:v>
      </x:c>
      <x:c r="F101" s="20" t="n">
        <x:v>67647</x:v>
      </x:c>
      <x:c r="G101" s="8" t="str">
        <x:v>Utilities / lighting / drainage</x:v>
      </x:c>
      <x:c r="H101" s="8" t="str">
        <x:v>KGW November 2023 report; estimate dates not supplied</x:v>
      </x:c>
      <x:c r="I101" s="8" t="str">
        <x:v>https://flo.uri.sh/visualisation/15494950/embed</x:v>
      </x:c>
    </x:row>
    <x:row r="102" ht="46" customHeight="1">
      <x:c r="A102" s="7" t="n">
        <x:v>98</x:v>
      </x:c>
      <x:c r="B102" s="12" t="str">
        <x:v>Centennial SUN Community School</x:v>
      </x:c>
      <x:c r="C102" s="12" t="str">
        <x:v>Centennial HS - 3 Soccer, 2 Ball Fields</x:v>
      </x:c>
      <x:c r="D102" s="12" t="str">
        <x:v>Centennial SUN Community School</x:v>
      </x:c>
      <x:c r="E102" s="12" t="str">
        <x:v>CONTRIBUTION toward converting natural grass at selected schools to synthetic turf.   Lights.</x:v>
      </x:c>
      <x:c r="F102" s="21" t="n">
        <x:v>154807</x:v>
      </x:c>
      <x:c r="G102" s="7" t="str">
        <x:v>Fields / courts / play</x:v>
      </x:c>
      <x:c r="H102" s="7" t="str">
        <x:v>KGW November 2023 report; estimate dates not supplied</x:v>
      </x:c>
      <x:c r="I102" s="7" t="str">
        <x:v>https://flo.uri.sh/visualisation/15494950/embed</x:v>
      </x:c>
    </x:row>
    <x:row r="103" ht="46" customHeight="1">
      <x:c r="A103" s="8" t="n">
        <x:v>99</x:v>
      </x:c>
      <x:c r="B103" s="11" t="str">
        <x:v>Chimney Park</x:v>
      </x:c>
      <x:c r="C103" s="11" t="str">
        <x:v>Pathway Renovation</x:v>
      </x:c>
      <x:c r="D103" s="11" t="str">
        <x:v>Internal Pathway/ Sidewalk</x:v>
      </x:c>
      <x:c r="E103" s="11" t="str">
        <x:v>Replace the damaged pathway, trails and sidewalks that have been rated as 4 and 5 in Pathway assessment</x:v>
      </x:c>
      <x:c r="F103" s="20" t="n">
        <x:v>51172</x:v>
      </x:c>
      <x:c r="G103" s="8" t="str">
        <x:v>Paths / access / bridges</x:v>
      </x:c>
      <x:c r="H103" s="8" t="str">
        <x:v>KGW November 2023 report; estimate dates not supplied</x:v>
      </x:c>
      <x:c r="I103" s="8" t="str">
        <x:v>https://flo.uri.sh/visualisation/15494950/embed</x:v>
      </x:c>
    </x:row>
    <x:row r="104" ht="46" customHeight="1">
      <x:c r="A104" s="7" t="n">
        <x:v>100</x:v>
      </x:c>
      <x:c r="B104" s="12" t="str">
        <x:v>Chimney Park</x:v>
      </x:c>
      <x:c r="C104" s="12" t="str">
        <x:v>Workspace- Interior building renovation</x:v>
      </x:c>
      <x:c r="D104" s="12" t="str">
        <x:v>North Zone HQ, ID-30</x:v>
      </x:c>
      <x:c r="E104" s="12" t="str">
        <x:v>Project components as below:
Improvement Type: Building, Category: MEP, Subcategory: Plumbing - Laundry, Description: Add Laundry (Need W/D), Invest#: 30.04
Improvement Type: Building, Category: Interior, Subcategory: Mudroom Functions, Description: Conditioned Space for Drying Wet Gear out of Existing Freeze protected Storage, Invest#: 30.02
Improvement Type: Building, Category: Interior, Subcategory: Mudroom Functions, Description: Conditioned Space for Drying Wet Gear out of Existing Freeze protected Storage (Mud Room) and boot dryers, Invest#: 30.03
Improvement Type: Building, Category: Interior, Subcategory: Meeting Room, Description: Improve meeting rooms, Invest#: 30.08
Improvement Type: Building, Category: Renovation, Subcategory: NA, Description: Kitchen Expansion, Invest#: 30.06</x:v>
      </x:c>
      <x:c r="F104" s="21" t="n">
        <x:v>50000</x:v>
      </x:c>
      <x:c r="G104" s="7" t="str">
        <x:v>Buildings / building systems</x:v>
      </x:c>
      <x:c r="H104" s="7" t="str">
        <x:v>KGW November 2023 report; estimate dates not supplied</x:v>
      </x:c>
      <x:c r="I104" s="7" t="str">
        <x:v>https://flo.uri.sh/visualisation/15494950/embed</x:v>
      </x:c>
    </x:row>
    <x:row r="105" ht="46" customHeight="1">
      <x:c r="A105" s="8" t="n">
        <x:v>101</x:v>
      </x:c>
      <x:c r="B105" s="11" t="str">
        <x:v>Chimney Park</x:v>
      </x:c>
      <x:c r="C105" s="11" t="str">
        <x:v>Renovate parking lot_Parking Area A</x:v>
      </x:c>
      <x:c r="D105" s="11" t="str">
        <x:v>Parking Area A</x:v>
      </x:c>
      <x:c r="E105" s="11" t="str">
        <x:v>Repair parking lot that was rated 5 in condition assessment. Repair include surface, drainage and curb. approx area= 6080 sq.ft</x:v>
      </x:c>
      <x:c r="F105" s="20" t="n">
        <x:v>34475</x:v>
      </x:c>
      <x:c r="G105" s="8" t="str">
        <x:v>Utilities / lighting / drainage</x:v>
      </x:c>
      <x:c r="H105" s="8" t="str">
        <x:v>KGW November 2023 report; estimate dates not supplied</x:v>
      </x:c>
      <x:c r="I105" s="8" t="str">
        <x:v>https://flo.uri.sh/visualisation/15494950/embed</x:v>
      </x:c>
    </x:row>
    <x:row r="106" ht="46" customHeight="1">
      <x:c r="A106" s="7" t="n">
        <x:v>102</x:v>
      </x:c>
      <x:c r="B106" s="12" t="str">
        <x:v>Chimney Park</x:v>
      </x:c>
      <x:c r="C106" s="12" t="str">
        <x:v>ESPC-II_ Maint Facility - Chimney Park</x:v>
      </x:c>
      <x:c r="D106" s="12" t="str"/>
      <x:c r="E106" s="12" t="str">
        <x:v>Retrocommission all astronomical and mechanical timeclocks to ensure proper operation and correct current time.. FIM Name: 05.00-1399 Retro Commissioning Astronomical &amp; Mech Timeclocks
Convert existing lighting to LED technology via a re-lamp approach.. FIM Name: 09.06-1399 Building Interior Lighting LED Conversion
Tighten schedules and setpoints to match occupancy and maintain a 5F deadband between occupied heating and cooling setpoints.. FIM Name: 04.01-1399 DDC/Control System Optimization
Install a GE control node on each pathway light fixture.  Node for parks with &lt;50 fixtures will be model #ELWM18BXXXXAD.  Node for parks with &gt;50 fixtures will be model #ELWN08BXXXXAD.. FIM Name: 09.17-1399 Building Exterior Lighting Controls
Convert existing lighting to LED technology via a re-lamp approach.. FIM Name: 09.07-1399 Building Exterior Lighting LED Conversion
Install low flow aerators, low flow shower heads, and RCx water closet flush valves.. FIM Name: 18.00-1399 Water Fixture Retrofits</x:v>
      </x:c>
      <x:c r="F106" s="21" t="n">
        <x:v>32929</x:v>
      </x:c>
      <x:c r="G106" s="7" t="str">
        <x:v>Buildings / building systems</x:v>
      </x:c>
      <x:c r="H106" s="7" t="str">
        <x:v>KGW November 2023 report; estimate dates not supplied</x:v>
      </x:c>
      <x:c r="I106" s="7" t="str">
        <x:v>https://flo.uri.sh/visualisation/15494950/embed</x:v>
      </x:c>
    </x:row>
    <x:row r="107" ht="46" customHeight="1">
      <x:c r="A107" s="8" t="n">
        <x:v>103</x:v>
      </x:c>
      <x:c r="B107" s="11" t="str">
        <x:v>Chimney Park</x:v>
      </x:c>
      <x:c r="C107" s="11" t="str">
        <x:v>Roof replacement</x:v>
      </x:c>
      <x:c r="D107" s="11" t="str">
        <x:v>Garage</x:v>
      </x:c>
      <x:c r="E107" s="11" t="str">
        <x:v>- The roof of Garage and maintenance facility is in end of life cycle
- This project derived from Building assessment</x:v>
      </x:c>
      <x:c r="F107" s="20" t="n">
        <x:v>199928</x:v>
      </x:c>
      <x:c r="G107" s="8" t="str">
        <x:v>Buildings / building systems</x:v>
      </x:c>
      <x:c r="H107" s="8" t="str">
        <x:v>KGW November 2023 report; estimate dates not supplied</x:v>
      </x:c>
      <x:c r="I107" s="8" t="str">
        <x:v>https://flo.uri.sh/visualisation/15494950/embed</x:v>
      </x:c>
    </x:row>
    <x:row r="108" ht="46" customHeight="1">
      <x:c r="A108" s="7" t="n">
        <x:v>104</x:v>
      </x:c>
      <x:c r="B108" s="12" t="str">
        <x:v>Chimney Park</x:v>
      </x:c>
      <x:c r="C108" s="12" t="str">
        <x:v>Storage area for green Material</x:v>
      </x:c>
      <x:c r="D108" s="12" t="str">
        <x:v>Chimney Park</x:v>
      </x:c>
      <x:c r="E108" s="12" t="str">
        <x:v>construct a secured storage area for materials such as mulch, green waste, gravel and storage of our cobblestones and dumpsters .</x:v>
      </x:c>
      <x:c r="F108" s="21" t="n">
        <x:v>133959</x:v>
      </x:c>
      <x:c r="G108" s="7" t="str">
        <x:v>Other site infrastructure</x:v>
      </x:c>
      <x:c r="H108" s="7" t="str">
        <x:v>KGW November 2023 report; estimate dates not supplied</x:v>
      </x:c>
      <x:c r="I108" s="7" t="str">
        <x:v>https://flo.uri.sh/visualisation/15494950/embed</x:v>
      </x:c>
    </x:row>
    <x:row r="109" ht="46" customHeight="1">
      <x:c r="A109" s="8" t="n">
        <x:v>105</x:v>
      </x:c>
      <x:c r="B109" s="11" t="str">
        <x:v>Chimney Park</x:v>
      </x:c>
      <x:c r="C109" s="11" t="str">
        <x:v>Reconnect Hose bib to Potable water line</x:v>
      </x:c>
      <x:c r="D109" s="11" t="str">
        <x:v>Hose bib</x:v>
      </x:c>
      <x:c r="E109" s="11" t="str">
        <x:v>The water line used to for the hose bib was tied to the irrigation line. This a violation of the plumbing code and the water line has shut down. The hose bib needs to be tied to a potable drinking water line. The closet potable line is approximately 200 ft away.</x:v>
      </x:c>
      <x:c r="F109" s="20" t="n">
        <x:v>11760</x:v>
      </x:c>
      <x:c r="G109" s="8" t="str">
        <x:v>Utilities / lighting / drainage</x:v>
      </x:c>
      <x:c r="H109" s="8" t="str">
        <x:v>KGW November 2023 report; estimate dates not supplied</x:v>
      </x:c>
      <x:c r="I109" s="8" t="str">
        <x:v>https://flo.uri.sh/visualisation/15494950/embed</x:v>
      </x:c>
    </x:row>
    <x:row r="110" ht="46" customHeight="1">
      <x:c r="A110" s="7" t="n">
        <x:v>106</x:v>
      </x:c>
      <x:c r="B110" s="12" t="str">
        <x:v>Chimney Park</x:v>
      </x:c>
      <x:c r="C110" s="12" t="str">
        <x:v>Workspace- Interior building renovation</x:v>
      </x:c>
      <x:c r="D110" s="12" t="str">
        <x:v>North Zone HQ, ID-30</x:v>
      </x:c>
      <x:c r="E110" s="12" t="str">
        <x:v>Workspace project detail: 
Improvement Type: Site, Category: Safety, Subcategory: Security - Fencing, Description: Fenced Hardscaped Materials Storage Bins, Invest#: 5.01</x:v>
      </x:c>
      <x:c r="F110" s="21" t="n">
        <x:v>10000</x:v>
      </x:c>
      <x:c r="G110" s="7" t="str">
        <x:v>Buildings / building systems</x:v>
      </x:c>
      <x:c r="H110" s="7" t="str">
        <x:v>KGW November 2023 report; estimate dates not supplied</x:v>
      </x:c>
      <x:c r="I110" s="7" t="str">
        <x:v>https://flo.uri.sh/visualisation/15494950/embed</x:v>
      </x:c>
    </x:row>
    <x:row r="111" ht="46" customHeight="1">
      <x:c r="A111" s="8" t="n">
        <x:v>107</x:v>
      </x:c>
      <x:c r="B111" s="11" t="str">
        <x:v>Chimney Park</x:v>
      </x:c>
      <x:c r="C111" s="11" t="str">
        <x:v>Workspace- Interior building renovation</x:v>
      </x:c>
      <x:c r="D111" s="11" t="str">
        <x:v>North Zone HQ, ID-30</x:v>
      </x:c>
      <x:c r="E111" s="11" t="str">
        <x:v>Workspace project detail: 
Improvement Type: Site, Category: Storage - Outdoor, Subcategory: NA, Description: Shipping Container/Exterior Covered Storage Area (Tractor Storage), Invest#: 5.02</x:v>
      </x:c>
      <x:c r="F111" s="20" t="n">
        <x:v>10000</x:v>
      </x:c>
      <x:c r="G111" s="8" t="str">
        <x:v>Buildings / building systems</x:v>
      </x:c>
      <x:c r="H111" s="8" t="str">
        <x:v>KGW November 2023 report; estimate dates not supplied</x:v>
      </x:c>
      <x:c r="I111" s="8" t="str">
        <x:v>https://flo.uri.sh/visualisation/15494950/embed</x:v>
      </x:c>
    </x:row>
    <x:row r="112" ht="46" customHeight="1">
      <x:c r="A112" s="7" t="n">
        <x:v>108</x:v>
      </x:c>
      <x:c r="B112" s="12" t="str">
        <x:v>Clarendon Community Garden</x:v>
      </x:c>
      <x:c r="C112" s="12" t="str">
        <x:v>Pathway Renovation</x:v>
      </x:c>
      <x:c r="D112" s="12" t="str">
        <x:v>Clarendon Community Garden</x:v>
      </x:c>
      <x:c r="E112" s="12" t="str">
        <x:v>Replace the damaged pathway, trails and sidewalks that have been rated as 5 in Pathway assessment</x:v>
      </x:c>
      <x:c r="F112" s="21" t="n">
        <x:v>19057</x:v>
      </x:c>
      <x:c r="G112" s="7" t="str">
        <x:v>Paths / access / bridges</x:v>
      </x:c>
      <x:c r="H112" s="7" t="str">
        <x:v>KGW November 2023 report; estimate dates not supplied</x:v>
      </x:c>
      <x:c r="I112" s="7" t="str">
        <x:v>https://flo.uri.sh/visualisation/15494950/embed</x:v>
      </x:c>
    </x:row>
    <x:row r="113" ht="46" customHeight="1">
      <x:c r="A113" s="8" t="n">
        <x:v>109</x:v>
      </x:c>
      <x:c r="B113" s="11" t="str">
        <x:v>Clatsop Butte Park</x:v>
      </x:c>
      <x:c r="C113" s="11" t="str">
        <x:v>Renovate utility building</x:v>
      </x:c>
      <x:c r="D113" s="11" t="str">
        <x:v>Utility</x:v>
      </x:c>
      <x:c r="E113" s="11" t="str">
        <x:v>Renovate buildings rated as 4 or 5 in building assessment</x:v>
      </x:c>
      <x:c r="F113" s="20" t="n">
        <x:v>38028</x:v>
      </x:c>
      <x:c r="G113" s="8" t="str">
        <x:v>Buildings / building systems</x:v>
      </x:c>
      <x:c r="H113" s="8" t="str">
        <x:v>KGW November 2023 report; estimate dates not supplied</x:v>
      </x:c>
      <x:c r="I113" s="8" t="str">
        <x:v>https://flo.uri.sh/visualisation/15494950/embed</x:v>
      </x:c>
    </x:row>
    <x:row r="114" ht="46" customHeight="1">
      <x:c r="A114" s="7" t="n">
        <x:v>110</x:v>
      </x:c>
      <x:c r="B114" s="12" t="str">
        <x:v>Clinton Community Garden</x:v>
      </x:c>
      <x:c r="C114" s="12" t="str">
        <x:v>Replace Backflow preventer device</x:v>
      </x:c>
      <x:c r="D114" s="12" t="str">
        <x:v>Property</x:v>
      </x:c>
      <x:c r="E114" s="12" t="str">
        <x:v>- Replace out of compliance backflow preventer
- Assembly: Double Check Valve Assembly (DCVA)
- Premises Isolation (PI): 2" Double Check (DC)+ Vault. Serial # AE2326
- Move to property line, if needed
- Hazard: Right Of Way (ROW)</x:v>
      </x:c>
      <x:c r="F114" s="21" t="n">
        <x:v>10000</x:v>
      </x:c>
      <x:c r="G114" s="7" t="str">
        <x:v>Utilities / lighting / drainage</x:v>
      </x:c>
      <x:c r="H114" s="7" t="str">
        <x:v>KGW November 2023 report; estimate dates not supplied</x:v>
      </x:c>
      <x:c r="I114" s="7" t="str">
        <x:v>https://flo.uri.sh/visualisation/15494950/embed</x:v>
      </x:c>
    </x:row>
    <x:row r="115" ht="46" customHeight="1">
      <x:c r="A115" s="8" t="n">
        <x:v>111</x:v>
      </x:c>
      <x:c r="B115" s="11" t="str">
        <x:v>Clinton Park</x:v>
      </x:c>
      <x:c r="C115" s="11" t="str">
        <x:v>Renovate the Roof of Restroom building</x:v>
      </x:c>
      <x:c r="D115" s="11" t="str">
        <x:v>Restroom A</x:v>
      </x:c>
      <x:c r="E115" s="11" t="str">
        <x:v>Fix or replace the Roof that is rated 4 through buildings' assessment</x:v>
      </x:c>
      <x:c r="F115" s="20" t="n">
        <x:v>86901</x:v>
      </x:c>
      <x:c r="G115" s="8" t="str">
        <x:v>Buildings / building systems</x:v>
      </x:c>
      <x:c r="H115" s="8" t="str">
        <x:v>KGW November 2023 report; estimate dates not supplied</x:v>
      </x:c>
      <x:c r="I115" s="8" t="str">
        <x:v>https://flo.uri.sh/visualisation/15494950/embed</x:v>
      </x:c>
    </x:row>
    <x:row r="116" ht="46" customHeight="1">
      <x:c r="A116" s="7" t="n">
        <x:v>112</x:v>
      </x:c>
      <x:c r="B116" s="12" t="str">
        <x:v>Clinton Park</x:v>
      </x:c>
      <x:c r="C116" s="12" t="str">
        <x:v>Remove and replace playground equipment</x:v>
      </x:c>
      <x:c r="D116" s="12" t="str">
        <x:v>Clinton Park</x:v>
      </x:c>
      <x:c r="E116" s="12" t="str">
        <x:v>Remove and replace structures.  Expand play area to provide more play experiences.  Add sizeable free play area, per Technical Paper.  Note that these improvements could trigger the requirement to bring other aspects of the park up to ADA.</x:v>
      </x:c>
      <x:c r="F116" s="21" t="n">
        <x:v>697362</x:v>
      </x:c>
      <x:c r="G116" s="7" t="str">
        <x:v>Paths / access / bridges</x:v>
      </x:c>
      <x:c r="H116" s="7" t="str">
        <x:v>KGW November 2023 report; estimate dates not supplied</x:v>
      </x:c>
      <x:c r="I116" s="7" t="str">
        <x:v>https://flo.uri.sh/visualisation/15494950/embed</x:v>
      </x:c>
    </x:row>
    <x:row r="117" ht="46" customHeight="1">
      <x:c r="A117" s="8" t="n">
        <x:v>113</x:v>
      </x:c>
      <x:c r="B117" s="11" t="str">
        <x:v>Clinton Park</x:v>
      </x:c>
      <x:c r="C117" s="11" t="str">
        <x:v>Renovate 3 Soccer and 2 Ball Fields</x:v>
      </x:c>
      <x:c r="D117" s="11" t="str">
        <x:v>Clinton Park</x:v>
      </x:c>
      <x:c r="E117" s="11" t="str">
        <x:v>PP&amp;R sports fields are in varying conditions.  Significant improvements have been made but a few still need irrigation, improved goals, backstops, bleachers, etc.</x:v>
      </x:c>
      <x:c r="F117" s="20" t="n">
        <x:v>5032791</x:v>
      </x:c>
      <x:c r="G117" s="8" t="str">
        <x:v>Fields / courts / play</x:v>
      </x:c>
      <x:c r="H117" s="8" t="str">
        <x:v>KGW November 2023 report; estimate dates not supplied</x:v>
      </x:c>
      <x:c r="I117" s="8" t="str">
        <x:v>https://flo.uri.sh/visualisation/15494950/embed</x:v>
      </x:c>
    </x:row>
    <x:row r="118" ht="46" customHeight="1">
      <x:c r="A118" s="7" t="n">
        <x:v>114</x:v>
      </x:c>
      <x:c r="B118" s="12" t="str">
        <x:v>Clinton Park</x:v>
      </x:c>
      <x:c r="C118" s="12" t="str">
        <x:v>Renovate parking lot_Parking Area A</x:v>
      </x:c>
      <x:c r="D118" s="12" t="str">
        <x:v>Parking Area A</x:v>
      </x:c>
      <x:c r="E118" s="12" t="str">
        <x:v>Repair parking lot that was rated 4 in condition assessment. Repair include surface, drainage and curb. approx area= 14063 sq.ft</x:v>
      </x:c>
      <x:c r="F118" s="21" t="n">
        <x:v>229931</x:v>
      </x:c>
      <x:c r="G118" s="7" t="str">
        <x:v>Utilities / lighting / drainage</x:v>
      </x:c>
      <x:c r="H118" s="7" t="str">
        <x:v>KGW November 2023 report; estimate dates not supplied</x:v>
      </x:c>
      <x:c r="I118" s="7" t="str">
        <x:v>https://flo.uri.sh/visualisation/15494950/embed</x:v>
      </x:c>
    </x:row>
    <x:row r="119" ht="46" customHeight="1">
      <x:c r="A119" s="8" t="n">
        <x:v>115</x:v>
      </x:c>
      <x:c r="B119" s="11" t="str">
        <x:v>Clinton Park</x:v>
      </x:c>
      <x:c r="C119" s="11" t="str">
        <x:v>ESPC-III_Buildings Lighting to LEDs</x:v>
      </x:c>
      <x:c r="D119" s="11" t="str">
        <x:v>Restroom</x:v>
      </x:c>
      <x:c r="E119" s="11" t="str">
        <x:v>LED conversion for Exterior and Interior Lights</x:v>
      </x:c>
      <x:c r="F119" s="20" t="n">
        <x:v>11760</x:v>
      </x:c>
      <x:c r="G119" s="8" t="str">
        <x:v>Buildings / building systems</x:v>
      </x:c>
      <x:c r="H119" s="8" t="str">
        <x:v>KGW November 2023 report; estimate dates not supplied</x:v>
      </x:c>
      <x:c r="I119" s="8" t="str">
        <x:v>https://flo.uri.sh/visualisation/15494950/embed</x:v>
      </x:c>
    </x:row>
    <x:row r="120" ht="46" customHeight="1">
      <x:c r="A120" s="7" t="n">
        <x:v>116</x:v>
      </x:c>
      <x:c r="B120" s="12" t="str">
        <x:v>Colonel Summers Park</x:v>
      </x:c>
      <x:c r="C120" s="12" t="str">
        <x:v>Renovate sport field</x:v>
      </x:c>
      <x:c r="D120" s="12" t="str">
        <x:v>Ball Field 1</x:v>
      </x:c>
      <x:c r="E120" s="12" t="str">
        <x:v>Sport fields rated 4 or 5 in condition assessment</x:v>
      </x:c>
      <x:c r="F120" s="21" t="n">
        <x:v>751657</x:v>
      </x:c>
      <x:c r="G120" s="7" t="str">
        <x:v>Fields / courts / play</x:v>
      </x:c>
      <x:c r="H120" s="7" t="str">
        <x:v>KGW November 2023 report; estimate dates not supplied</x:v>
      </x:c>
      <x:c r="I120" s="7" t="str">
        <x:v>https://flo.uri.sh/visualisation/15494950/embed</x:v>
      </x:c>
    </x:row>
    <x:row r="121" ht="46" customHeight="1">
      <x:c r="A121" s="8" t="n">
        <x:v>117</x:v>
      </x:c>
      <x:c r="B121" s="11" t="str">
        <x:v>Colonel Summers Park</x:v>
      </x:c>
      <x:c r="C121" s="11" t="str">
        <x:v>Pathway Renovation</x:v>
      </x:c>
      <x:c r="D121" s="11" t="str">
        <x:v>Colonel Summers Park</x:v>
      </x:c>
      <x:c r="E121" s="11" t="str">
        <x:v>Replace the damaged pathway, trails and sidewalks that have been rated as 4 and 5 in Pathway assessment</x:v>
      </x:c>
      <x:c r="F121" s="20" t="n">
        <x:v>41162</x:v>
      </x:c>
      <x:c r="G121" s="8" t="str">
        <x:v>Paths / access / bridges</x:v>
      </x:c>
      <x:c r="H121" s="8" t="str">
        <x:v>KGW November 2023 report; estimate dates not supplied</x:v>
      </x:c>
      <x:c r="I121" s="8" t="str">
        <x:v>https://flo.uri.sh/visualisation/15494950/embed</x:v>
      </x:c>
    </x:row>
    <x:row r="122" ht="46" customHeight="1">
      <x:c r="A122" s="7" t="n">
        <x:v>118</x:v>
      </x:c>
      <x:c r="B122" s="12" t="str">
        <x:v>Colonel Summers Park</x:v>
      </x:c>
      <x:c r="C122" s="12" t="str">
        <x:v>Change light poles base connection</x:v>
      </x:c>
      <x:c r="D122" s="12" t="str">
        <x:v>Light poles</x:v>
      </x:c>
      <x:c r="E122" s="12"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12 approximately with estimated cost $3000/ pole.</x:v>
      </x:c>
      <x:c r="F122" s="21" t="n">
        <x:v>36720</x:v>
      </x:c>
      <x:c r="G122" s="7" t="str">
        <x:v>Utilities / lighting / drainage</x:v>
      </x:c>
      <x:c r="H122" s="7" t="str">
        <x:v>KGW November 2023 report; estimate dates not supplied</x:v>
      </x:c>
      <x:c r="I122" s="7" t="str">
        <x:v>https://flo.uri.sh/visualisation/15494950/embed</x:v>
      </x:c>
    </x:row>
    <x:row r="123" ht="46" customHeight="1">
      <x:c r="A123" s="8" t="n">
        <x:v>119</x:v>
      </x:c>
      <x:c r="B123" s="11" t="str">
        <x:v>Colonel Summers Park</x:v>
      </x:c>
      <x:c r="C123" s="11" t="str">
        <x:v>Renovate playground</x:v>
      </x:c>
      <x:c r="D123" s="11" t="str">
        <x:v>Play area A</x:v>
      </x:c>
      <x:c r="E123" s="11" t="str">
        <x:v>Renovate play areas rated 4 and 5 in playground assessment 2020</x:v>
      </x:c>
      <x:c r="F123" s="20" t="n">
        <x:v>287400</x:v>
      </x:c>
      <x:c r="G123" s="8" t="str">
        <x:v>Fields / courts / play</x:v>
      </x:c>
      <x:c r="H123" s="8" t="str">
        <x:v>KGW November 2023 report; estimate dates not supplied</x:v>
      </x:c>
      <x:c r="I123" s="8" t="str">
        <x:v>https://flo.uri.sh/visualisation/15494950/embed</x:v>
      </x:c>
    </x:row>
    <x:row r="124" ht="46" customHeight="1">
      <x:c r="A124" s="7" t="n">
        <x:v>120</x:v>
      </x:c>
      <x:c r="B124" s="12" t="str">
        <x:v>Colonel Summers Park</x:v>
      </x:c>
      <x:c r="C124" s="12" t="str">
        <x:v>Ballfield Improvements</x:v>
      </x:c>
      <x:c r="D124" s="12" t="str">
        <x:v>Colonel Summers Park</x:v>
      </x:c>
      <x:c r="E124" s="12" t="str">
        <x:v>Replace fencing and two backstops, level the field and add dirt, and Correct ongoing drainage issue which renders field unusable much of the year.</x:v>
      </x:c>
      <x:c r="F124" s="21" t="n">
        <x:v>264415</x:v>
      </x:c>
      <x:c r="G124" s="7" t="str">
        <x:v>Fields / courts / play</x:v>
      </x:c>
      <x:c r="H124" s="7" t="str">
        <x:v>KGW November 2023 report; estimate dates not supplied</x:v>
      </x:c>
      <x:c r="I124" s="7" t="str">
        <x:v>https://flo.uri.sh/visualisation/15494950/embed</x:v>
      </x:c>
    </x:row>
    <x:row r="125" ht="46" customHeight="1">
      <x:c r="A125" s="8" t="n">
        <x:v>121</x:v>
      </x:c>
      <x:c r="B125" s="11" t="str">
        <x:v>Colonel Summers Park</x:v>
      </x:c>
      <x:c r="C125" s="11" t="str">
        <x:v>Renovate Basketball sport court at Colonel Summers Park</x:v>
      </x:c>
      <x:c r="D125" s="11" t="str">
        <x:v>Basketball Court</x:v>
      </x:c>
      <x:c r="E125" s="11" t="str">
        <x:v>Fix or replace the Nike Resurf surface of the court that is rated 4 through courts' assessment</x:v>
      </x:c>
      <x:c r="F125" s="20" t="n">
        <x:v>180140</x:v>
      </x:c>
      <x:c r="G125" s="8" t="str">
        <x:v>Fields / courts / play</x:v>
      </x:c>
      <x:c r="H125" s="8" t="str">
        <x:v>KGW November 2023 report; estimate dates not supplied</x:v>
      </x:c>
      <x:c r="I125" s="8" t="str">
        <x:v>https://flo.uri.sh/visualisation/15494950/embed</x:v>
      </x:c>
    </x:row>
    <x:row r="126" ht="46" customHeight="1">
      <x:c r="A126" s="7" t="n">
        <x:v>122</x:v>
      </x:c>
      <x:c r="B126" s="12" t="str">
        <x:v>Colonel Summers Park</x:v>
      </x:c>
      <x:c r="C126" s="12" t="str">
        <x:v>Renovation of tennis courts</x:v>
      </x:c>
      <x:c r="D126" s="12" t="str">
        <x:v>Colonel Summers Park</x:v>
      </x:c>
      <x:c r="E126" s="12" t="str">
        <x:v>Resurface 2 courts, provide fencing and gates. Priority 1  By 7/16/13 may have modified idea of improvements</x:v>
      </x:c>
      <x:c r="F126" s="21" t="n">
        <x:v>168740</x:v>
      </x:c>
      <x:c r="G126" s="7" t="str">
        <x:v>Fields / courts / play</x:v>
      </x:c>
      <x:c r="H126" s="7" t="str">
        <x:v>KGW November 2023 report; estimate dates not supplied</x:v>
      </x:c>
      <x:c r="I126" s="7" t="str">
        <x:v>https://flo.uri.sh/visualisation/15494950/embed</x:v>
      </x:c>
    </x:row>
    <x:row r="127" ht="46" customHeight="1">
      <x:c r="A127" s="8" t="n">
        <x:v>123</x:v>
      </x:c>
      <x:c r="B127" s="11" t="str">
        <x:v>Colonel Summers Park</x:v>
      </x:c>
      <x:c r="C127" s="11" t="str">
        <x:v>ESPC-III_Buildings Lighting to LEDs</x:v>
      </x:c>
      <x:c r="D127" s="11" t="str">
        <x:v>Shelter - Restroom - Storage</x:v>
      </x:c>
      <x:c r="E127" s="11" t="str">
        <x:v>LED conversion for Exterior and Interior Lights</x:v>
      </x:c>
      <x:c r="F127" s="20" t="n">
        <x:v>11760</x:v>
      </x:c>
      <x:c r="G127" s="8" t="str">
        <x:v>Buildings / building systems</x:v>
      </x:c>
      <x:c r="H127" s="8" t="str">
        <x:v>KGW November 2023 report; estimate dates not supplied</x:v>
      </x:c>
      <x:c r="I127" s="8" t="str">
        <x:v>https://flo.uri.sh/visualisation/15494950/embed</x:v>
      </x:c>
    </x:row>
    <x:row r="128" ht="46" customHeight="1">
      <x:c r="A128" s="7" t="n">
        <x:v>124</x:v>
      </x:c>
      <x:c r="B128" s="12" t="str">
        <x:v>Colonel Summers Park</x:v>
      </x:c>
      <x:c r="C128" s="12" t="str">
        <x:v>Replace Backflow preventer device</x:v>
      </x:c>
      <x:c r="D128" s="12" t="str">
        <x:v>Irrigation</x:v>
      </x:c>
      <x:c r="E128" s="12" t="str">
        <x:v>- Replace out of compliance backflow preventers
- Assembly: Double Check Valve Assembly (DCVA)
- Move to property line, if needed
- Hazard: Right Of Way (ROW) + Aquatics
- See components for detail</x:v>
      </x:c>
      <x:c r="F128" s="21" t="n">
        <x:v>10000</x:v>
      </x:c>
      <x:c r="G128" s="7" t="str">
        <x:v>Pools / aquatics</x:v>
      </x:c>
      <x:c r="H128" s="7" t="str">
        <x:v>KGW November 2023 report; estimate dates not supplied</x:v>
      </x:c>
      <x:c r="I128" s="7" t="str">
        <x:v>https://flo.uri.sh/visualisation/15494950/embed</x:v>
      </x:c>
    </x:row>
    <x:row r="129" ht="46" customHeight="1">
      <x:c r="A129" s="8" t="n">
        <x:v>125</x:v>
      </x:c>
      <x:c r="B129" s="11" t="str">
        <x:v>Columbia Buffer</x:v>
      </x:c>
      <x:c r="C129" s="11" t="str">
        <x:v>Pathway Renovation</x:v>
      </x:c>
      <x:c r="D129" s="11" t="str">
        <x:v>Columbia Buffer</x:v>
      </x:c>
      <x:c r="E129" s="11" t="str">
        <x:v>Replace the damaged pathway, trails and sidewalks that have been rated as 4 and 5 in Pathway assessment</x:v>
      </x:c>
      <x:c r="F129" s="20" t="n">
        <x:v>82323</x:v>
      </x:c>
      <x:c r="G129" s="8" t="str">
        <x:v>Paths / access / bridges</x:v>
      </x:c>
      <x:c r="H129" s="8" t="str">
        <x:v>KGW November 2023 report; estimate dates not supplied</x:v>
      </x:c>
      <x:c r="I129" s="8" t="str">
        <x:v>https://flo.uri.sh/visualisation/15494950/embed</x:v>
      </x:c>
    </x:row>
    <x:row r="130" ht="46" customHeight="1">
      <x:c r="A130" s="7" t="n">
        <x:v>126</x:v>
      </x:c>
      <x:c r="B130" s="12" t="str">
        <x:v>Columbia Childrens Arboretum</x:v>
      </x:c>
      <x:c r="C130" s="12" t="str">
        <x:v>Ecological Restoration_ Columbia Childrens Arboretum</x:v>
      </x:c>
      <x:c r="D130" s="12" t="str"/>
      <x:c r="E130" s="12" t="str">
        <x:v>Placholder for Ecological health restoration</x:v>
      </x:c>
      <x:c r="F130" s="21" t="n">
        <x:v>147006</x:v>
      </x:c>
      <x:c r="G130" s="7" t="str">
        <x:v>Other site infrastructure</x:v>
      </x:c>
      <x:c r="H130" s="7" t="str">
        <x:v>KGW November 2023 report; estimate dates not supplied</x:v>
      </x:c>
      <x:c r="I130" s="7" t="str">
        <x:v>https://flo.uri.sh/visualisation/15494950/embed</x:v>
      </x:c>
    </x:row>
    <x:row r="131" ht="46" customHeight="1">
      <x:c r="A131" s="8" t="n">
        <x:v>127</x:v>
      </x:c>
      <x:c r="B131" s="11" t="str">
        <x:v>Columbia Park</x:v>
      </x:c>
      <x:c r="C131" s="11" t="str">
        <x:v>ESPC-II_ Columbia Park Annex</x:v>
      </x:c>
      <x:c r="D131" s="11" t="str"/>
      <x:c r="E131" s="11" t="str">
        <x:v>Convert existing lighting to LED technology via a re-lamp approach.. FIM Name: 09.07-1104 Building Exterior Lighting LED Conversion</x:v>
      </x:c>
      <x:c r="F131" s="20" t="n">
        <x:v>99</x:v>
      </x:c>
      <x:c r="G131" s="8" t="str">
        <x:v>Buildings / building systems</x:v>
      </x:c>
      <x:c r="H131" s="8" t="str">
        <x:v>KGW November 2023 report; estimate dates not supplied</x:v>
      </x:c>
      <x:c r="I131" s="8" t="str">
        <x:v>https://flo.uri.sh/visualisation/15494950/embed</x:v>
      </x:c>
    </x:row>
    <x:row r="132" ht="46" customHeight="1">
      <x:c r="A132" s="7" t="n">
        <x:v>128</x:v>
      </x:c>
      <x:c r="B132" s="12" t="str">
        <x:v>Columbia Park</x:v>
      </x:c>
      <x:c r="C132" s="12" t="str">
        <x:v>ESPC-II_ Columbia Park</x:v>
      </x:c>
      <x:c r="D132" s="12" t="str"/>
      <x:c r="E132" s="12" t="str">
        <x:v>Convert existing lighting to LED technology via a re-lamp approach.. FIM Name: 09.07-0017 Building Exterior Lighting LED Conversion</x:v>
      </x:c>
      <x:c r="F132" s="21" t="n">
        <x:v>826</x:v>
      </x:c>
      <x:c r="G132" s="7" t="str">
        <x:v>Buildings / building systems</x:v>
      </x:c>
      <x:c r="H132" s="7" t="str">
        <x:v>KGW November 2023 report; estimate dates not supplied</x:v>
      </x:c>
      <x:c r="I132" s="7" t="str">
        <x:v>https://flo.uri.sh/visualisation/15494950/embed</x:v>
      </x:c>
    </x:row>
    <x:row r="133" ht="46" customHeight="1">
      <x:c r="A133" s="8" t="n">
        <x:v>129</x:v>
      </x:c>
      <x:c r="B133" s="11" t="str">
        <x:v>Columbia Park</x:v>
      </x:c>
      <x:c r="C133" s="11" t="str">
        <x:v>Renovate 1 soccer and 2 ball fields</x:v>
      </x:c>
      <x:c r="D133" s="11" t="str">
        <x:v>Columbia Park</x:v>
      </x:c>
      <x:c r="E133" s="11" t="str">
        <x:v>PP&amp;R sports fields are in varying conditions.  Significant improvements have been made but a few still need irrigation and improved goals, etc.</x:v>
      </x:c>
      <x:c r="F133" s="20" t="n">
        <x:v>8342574</x:v>
      </x:c>
      <x:c r="G133" s="8" t="str">
        <x:v>Fields / courts / play</x:v>
      </x:c>
      <x:c r="H133" s="8" t="str">
        <x:v>KGW November 2023 report; estimate dates not supplied</x:v>
      </x:c>
      <x:c r="I133" s="8" t="str">
        <x:v>https://flo.uri.sh/visualisation/15494950/embed</x:v>
      </x:c>
    </x:row>
    <x:row r="134" ht="46" customHeight="1">
      <x:c r="A134" s="7" t="n">
        <x:v>130</x:v>
      </x:c>
      <x:c r="B134" s="12" t="str">
        <x:v>Columbia Park</x:v>
      </x:c>
      <x:c r="C134" s="12" t="str">
        <x:v>ESPC-II_ Columbia Park</x:v>
      </x:c>
      <x:c r="D134" s="12" t="str"/>
      <x:c r="E134" s="12" t="str">
        <x:v>Replace (1) existing Waterplay Monster ground spray (32 gpm @ 5ft) with wave nozzle (6 gpm) and replace (1) existing Waterplay Cosmic Cannon (6 gpm) to Solor Spurt (1.5 gpm).. FIM Name: 18.08-0017 Splash Pad Water Use Reduction</x:v>
      </x:c>
      <x:c r="F134" s="21" t="n">
        <x:v>8139</x:v>
      </x:c>
      <x:c r="G134" s="7" t="str">
        <x:v>Utilities / lighting / drainage</x:v>
      </x:c>
      <x:c r="H134" s="7" t="str">
        <x:v>KGW November 2023 report; estimate dates not supplied</x:v>
      </x:c>
      <x:c r="I134" s="7" t="str">
        <x:v>https://flo.uri.sh/visualisation/15494950/embed</x:v>
      </x:c>
    </x:row>
    <x:row r="135" ht="46" customHeight="1">
      <x:c r="A135" s="8" t="n">
        <x:v>131</x:v>
      </x:c>
      <x:c r="B135" s="11" t="str">
        <x:v>Columbia Park</x:v>
      </x:c>
      <x:c r="C135" s="11" t="str">
        <x:v>Pool and Building Demolition</x:v>
      </x:c>
      <x:c r="D135" s="11" t="str">
        <x:v>Indoor pool</x:v>
      </x:c>
      <x:c r="E135" s="11" t="str">
        <x:v>Demolish indoor pool buidling. If approved by Commissioner-in-Charge: Demolish At-Risk Building (based on third-party analysis), Reinvest OpEx elsewhere.</x:v>
      </x:c>
      <x:c r="F135" s="20" t="n">
        <x:v>765001</x:v>
      </x:c>
      <x:c r="G135" s="8" t="str">
        <x:v>Pools / aquatics</x:v>
      </x:c>
      <x:c r="H135" s="8" t="str">
        <x:v>KGW November 2023 report; estimate dates not supplied</x:v>
      </x:c>
      <x:c r="I135" s="8" t="str">
        <x:v>https://flo.uri.sh/visualisation/15494950/embed</x:v>
      </x:c>
    </x:row>
    <x:row r="136" ht="46" customHeight="1">
      <x:c r="A136" s="7" t="n">
        <x:v>132</x:v>
      </x:c>
      <x:c r="B136" s="12" t="str">
        <x:v>Columbia Park</x:v>
      </x:c>
      <x:c r="C136" s="12" t="str">
        <x:v>ESPC-II_ Columbia Park Annex</x:v>
      </x:c>
      <x:c r="D136" s="12" t="str"/>
      <x:c r="E136" s="12" t="str">
        <x:v>Convert existing lighting to LED technology via a re-lamp approach.. FIM Name: 09.06-1104 Building Interior Lighting LED Conversion</x:v>
      </x:c>
      <x:c r="F136" s="21" t="n">
        <x:v>760</x:v>
      </x:c>
      <x:c r="G136" s="7" t="str">
        <x:v>Buildings / building systems</x:v>
      </x:c>
      <x:c r="H136" s="7" t="str">
        <x:v>KGW November 2023 report; estimate dates not supplied</x:v>
      </x:c>
      <x:c r="I136" s="7" t="str">
        <x:v>https://flo.uri.sh/visualisation/15494950/embed</x:v>
      </x:c>
    </x:row>
    <x:row r="137" ht="46" customHeight="1">
      <x:c r="A137" s="8" t="n">
        <x:v>133</x:v>
      </x:c>
      <x:c r="B137" s="11" t="str">
        <x:v>Columbia Park</x:v>
      </x:c>
      <x:c r="C137" s="11" t="str">
        <x:v>ESPC-II_ Columbia Park Annex</x:v>
      </x:c>
      <x:c r="D137" s="11" t="str"/>
      <x:c r="E137" s="11" t="str">
        <x:v>Install a GE control node on each pathway light fixture.  Node for parks with &lt;50 fixtures will be model #ELWM18BXXXXAD.  Node for parks with &gt;50 fixtures will be model #ELWN08BXXXXAD.. FIM Name: 09.17-1104 Building Exterior Lighting Controls</x:v>
      </x:c>
      <x:c r="F137" s="20" t="n">
        <x:v>733</x:v>
      </x:c>
      <x:c r="G137" s="8" t="str">
        <x:v>Buildings / building systems</x:v>
      </x:c>
      <x:c r="H137" s="8" t="str">
        <x:v>KGW November 2023 report; estimate dates not supplied</x:v>
      </x:c>
      <x:c r="I137" s="8" t="str">
        <x:v>https://flo.uri.sh/visualisation/15494950/embed</x:v>
      </x:c>
    </x:row>
    <x:row r="138" ht="46" customHeight="1">
      <x:c r="A138" s="7" t="n">
        <x:v>134</x:v>
      </x:c>
      <x:c r="B138" s="12" t="str">
        <x:v>Columbia Park</x:v>
      </x:c>
      <x:c r="C138" s="12" t="str">
        <x:v>ESPC-II_ Columbia Park</x:v>
      </x:c>
      <x:c r="D138" s="12" t="str"/>
      <x:c r="E138" s="12" t="str">
        <x:v>Convert existing lighting to LED technology via a re-lamp approach.. FIM Name: 09.06-0017 Building Interior Lighting LED Conversion</x:v>
      </x:c>
      <x:c r="F138" s="21" t="n">
        <x:v>7040</x:v>
      </x:c>
      <x:c r="G138" s="7" t="str">
        <x:v>Buildings / building systems</x:v>
      </x:c>
      <x:c r="H138" s="7" t="str">
        <x:v>KGW November 2023 report; estimate dates not supplied</x:v>
      </x:c>
      <x:c r="I138" s="7" t="str">
        <x:v>https://flo.uri.sh/visualisation/15494950/embed</x:v>
      </x:c>
    </x:row>
    <x:row r="139" ht="46" customHeight="1">
      <x:c r="A139" s="8" t="n">
        <x:v>135</x:v>
      </x:c>
      <x:c r="B139" s="11" t="str">
        <x:v>Columbia Park</x:v>
      </x:c>
      <x:c r="C139" s="11" t="str">
        <x:v>ESPC-II_ Columbia Park</x:v>
      </x:c>
      <x:c r="D139" s="11" t="str"/>
      <x:c r="E139" s="11" t="str">
        <x:v>Develop new well at Columbia Park for irrigation purposes. Install new submersible well pump estimated as 60HP with 300gpm at 156'.. FIM Name: 18.04-0017 Develop New Well</x:v>
      </x:c>
      <x:c r="F139" s="20" t="n">
        <x:v>569288</x:v>
      </x:c>
      <x:c r="G139" s="8" t="str">
        <x:v>Utilities / lighting / drainage</x:v>
      </x:c>
      <x:c r="H139" s="8" t="str">
        <x:v>KGW November 2023 report; estimate dates not supplied</x:v>
      </x:c>
      <x:c r="I139" s="8" t="str">
        <x:v>https://flo.uri.sh/visualisation/15494950/embed</x:v>
      </x:c>
    </x:row>
    <x:row r="140" ht="46" customHeight="1">
      <x:c r="A140" s="7" t="n">
        <x:v>136</x:v>
      </x:c>
      <x:c r="B140" s="12" t="str">
        <x:v>Columbia Park</x:v>
      </x:c>
      <x:c r="C140" s="12" t="str">
        <x:v>Renovate tennis court</x:v>
      </x:c>
      <x:c r="D140" s="12" t="str">
        <x:v>Sport court 2</x:v>
      </x:c>
      <x:c r="E140" s="12" t="str">
        <x:v>Renovate tennis courts rated 4 or 5 in sport court assessment</x:v>
      </x:c>
      <x:c r="F140" s="21" t="n">
        <x:v>560018</x:v>
      </x:c>
      <x:c r="G140" s="7" t="str">
        <x:v>Fields / courts / play</x:v>
      </x:c>
      <x:c r="H140" s="7" t="str">
        <x:v>KGW November 2023 report; estimate dates not supplied</x:v>
      </x:c>
      <x:c r="I140" s="7" t="str">
        <x:v>https://flo.uri.sh/visualisation/15494950/embed</x:v>
      </x:c>
    </x:row>
    <x:row r="141" ht="46" customHeight="1">
      <x:c r="A141" s="8" t="n">
        <x:v>137</x:v>
      </x:c>
      <x:c r="B141" s="11" t="str">
        <x:v>Columbia Park</x:v>
      </x:c>
      <x:c r="C141" s="11" t="str">
        <x:v>Restore handball court</x:v>
      </x:c>
      <x:c r="D141" s="11" t="str">
        <x:v>Court</x:v>
      </x:c>
      <x:c r="E141" s="11" t="str">
        <x:v>Handball court is deteriorating and rated as 5 in court assessmet. The whole court need to remove or restore.</x:v>
      </x:c>
      <x:c r="F141" s="20" t="n">
        <x:v>54191</x:v>
      </x:c>
      <x:c r="G141" s="8" t="str">
        <x:v>Fields / courts / play</x:v>
      </x:c>
      <x:c r="H141" s="8" t="str">
        <x:v>KGW November 2023 report; estimate dates not supplied</x:v>
      </x:c>
      <x:c r="I141" s="8" t="str">
        <x:v>https://flo.uri.sh/visualisation/15494950/embed</x:v>
      </x:c>
    </x:row>
    <x:row r="142" ht="46" customHeight="1">
      <x:c r="A142" s="7" t="n">
        <x:v>138</x:v>
      </x:c>
      <x:c r="B142" s="12" t="str">
        <x:v>Columbia Park</x:v>
      </x:c>
      <x:c r="C142" s="12" t="str">
        <x:v>ESPC-II_ Columbia Park Annex</x:v>
      </x:c>
      <x:c r="D142" s="12" t="str"/>
      <x:c r="E142" s="12" t="str">
        <x:v>Columbia Park Annex - Retro commission all irrigation sprinkler systems and heads to ensure proper thrown and timing. Replace 10% of all rotary and spray heads.. FIM Name: 18.10-1104 Irrigation System Improvements</x:v>
      </x:c>
      <x:c r="F142" s="21" t="n">
        <x:v>5745</x:v>
      </x:c>
      <x:c r="G142" s="7" t="str">
        <x:v>Utilities / lighting / drainage</x:v>
      </x:c>
      <x:c r="H142" s="7" t="str">
        <x:v>KGW November 2023 report; estimate dates not supplied</x:v>
      </x:c>
      <x:c r="I142" s="7" t="str">
        <x:v>https://flo.uri.sh/visualisation/15494950/embed</x:v>
      </x:c>
    </x:row>
    <x:row r="143" ht="46" customHeight="1">
      <x:c r="A143" s="8" t="n">
        <x:v>139</x:v>
      </x:c>
      <x:c r="B143" s="11" t="str">
        <x:v>Columbia Park</x:v>
      </x:c>
      <x:c r="C143" s="11" t="str">
        <x:v>ESPC-II_ Columbia Park</x:v>
      </x:c>
      <x:c r="D143" s="11" t="str"/>
      <x:c r="E143" s="11" t="str">
        <x:v>Columbia Park - Retro commission all irrigation sprinkler systems and heads to ensure proper thrown and timing. Replace 10% of all rotary and spray heads.. FIM Name: 18.10-0017 Irrigation System Improvements</x:v>
      </x:c>
      <x:c r="F143" s="20" t="n">
        <x:v>45956</x:v>
      </x:c>
      <x:c r="G143" s="8" t="str">
        <x:v>Utilities / lighting / drainage</x:v>
      </x:c>
      <x:c r="H143" s="8" t="str">
        <x:v>KGW November 2023 report; estimate dates not supplied</x:v>
      </x:c>
      <x:c r="I143" s="8" t="str">
        <x:v>https://flo.uri.sh/visualisation/15494950/embed</x:v>
      </x:c>
    </x:row>
    <x:row r="144" ht="46" customHeight="1">
      <x:c r="A144" s="7" t="n">
        <x:v>140</x:v>
      </x:c>
      <x:c r="B144" s="12" t="str">
        <x:v>Columbia Park</x:v>
      </x:c>
      <x:c r="C144" s="12" t="str">
        <x:v>Pathway Renovation</x:v>
      </x:c>
      <x:c r="D144" s="12" t="str">
        <x:v>Columbia Park</x:v>
      </x:c>
      <x:c r="E144" s="12" t="str">
        <x:v>Replace the damaged pathway, trails and sidewalks that have been rated as 5 in Pathway assessment</x:v>
      </x:c>
      <x:c r="F144" s="21" t="n">
        <x:v>33827</x:v>
      </x:c>
      <x:c r="G144" s="7" t="str">
        <x:v>Paths / access / bridges</x:v>
      </x:c>
      <x:c r="H144" s="7" t="str">
        <x:v>KGW November 2023 report; estimate dates not supplied</x:v>
      </x:c>
      <x:c r="I144" s="7" t="str">
        <x:v>https://flo.uri.sh/visualisation/15494950/embed</x:v>
      </x:c>
    </x:row>
    <x:row r="145" ht="46" customHeight="1">
      <x:c r="A145" s="8" t="n">
        <x:v>141</x:v>
      </x:c>
      <x:c r="B145" s="11" t="str">
        <x:v>Columbia Park</x:v>
      </x:c>
      <x:c r="C145" s="11" t="str">
        <x:v>Restroom Renovation</x:v>
      </x:c>
      <x:c r="D145" s="11" t="str">
        <x:v>Columbia Park Annex</x:v>
      </x:c>
      <x:c r="E145" s="11" t="str">
        <x:v>Restroom A: Repair / replace roof , fixtures, lighting, access</x:v>
      </x:c>
      <x:c r="F145" s="20" t="n">
        <x:v>294012</x:v>
      </x:c>
      <x:c r="G145" s="8" t="str">
        <x:v>Buildings / building systems</x:v>
      </x:c>
      <x:c r="H145" s="8" t="str">
        <x:v>KGW November 2023 report; estimate dates not supplied</x:v>
      </x:c>
      <x:c r="I145" s="8" t="str">
        <x:v>https://flo.uri.sh/visualisation/15494950/embed</x:v>
      </x:c>
    </x:row>
    <x:row r="146" ht="46" customHeight="1">
      <x:c r="A146" s="7" t="n">
        <x:v>142</x:v>
      </x:c>
      <x:c r="B146" s="12" t="str">
        <x:v>Columbia Park</x:v>
      </x:c>
      <x:c r="C146" s="12" t="str">
        <x:v>Columbia Cottage HVAC and Roof</x:v>
      </x:c>
      <x:c r="D146" s="12" t="str">
        <x:v>Columbia Cottage</x:v>
      </x:c>
      <x:c r="E146" s="12" t="str">
        <x:v>- Replace failing furnace.  System is at end of life.
- Replace the roof as it is in the end of life cycle. Roof condition was detremind through building assessment</x:v>
      </x:c>
      <x:c r="F146" s="21" t="n">
        <x:v>216472</x:v>
      </x:c>
      <x:c r="G146" s="7" t="str">
        <x:v>Buildings / building systems</x:v>
      </x:c>
      <x:c r="H146" s="7" t="str">
        <x:v>KGW November 2023 report; estimate dates not supplied</x:v>
      </x:c>
      <x:c r="I146" s="7" t="str">
        <x:v>https://flo.uri.sh/visualisation/15494950/embed</x:v>
      </x:c>
    </x:row>
    <x:row r="147" ht="46" customHeight="1">
      <x:c r="A147" s="8" t="n">
        <x:v>143</x:v>
      </x:c>
      <x:c r="B147" s="11" t="str">
        <x:v>Columbia Park</x:v>
      </x:c>
      <x:c r="C147" s="11" t="str">
        <x:v>ESPC-II_ Columbia Park Annex</x:v>
      </x:c>
      <x:c r="D147" s="11" t="str"/>
      <x:c r="E147" s="11" t="str">
        <x:v>Interconnect the water service at Columbia Park Annex with the new well system at the adjacent Columbia Park property.. FIM Name: 18.06-1104  Interconnect Irrigation to Adjacent Property Well System</x:v>
      </x:c>
      <x:c r="F147" s="20" t="n">
        <x:v>125609</x:v>
      </x:c>
      <x:c r="G147" s="8" t="str">
        <x:v>Utilities / lighting / drainage</x:v>
      </x:c>
      <x:c r="H147" s="8" t="str">
        <x:v>KGW November 2023 report; estimate dates not supplied</x:v>
      </x:c>
      <x:c r="I147" s="8" t="str">
        <x:v>https://flo.uri.sh/visualisation/15494950/embed</x:v>
      </x:c>
    </x:row>
    <x:row r="148" ht="46" customHeight="1">
      <x:c r="A148" s="7" t="n">
        <x:v>144</x:v>
      </x:c>
      <x:c r="B148" s="12" t="str">
        <x:v>Columbia Park</x:v>
      </x:c>
      <x:c r="C148" s="12" t="str">
        <x:v>Front doors ADA compliance</x:v>
      </x:c>
      <x:c r="D148" s="12" t="str">
        <x:v>Columbia Pool</x:v>
      </x:c>
      <x:c r="E148" s="12" t="str">
        <x:v>The front doors are not ADA compliant. There is no push button to automatically open the door. We have been getting complaints from our customers in wheelchairs and those using walkers.</x:v>
      </x:c>
      <x:c r="F148" s="21" t="n">
        <x:v>11760</x:v>
      </x:c>
      <x:c r="G148" s="7" t="str">
        <x:v>Pools / aquatics</x:v>
      </x:c>
      <x:c r="H148" s="7" t="str">
        <x:v>KGW November 2023 report; estimate dates not supplied</x:v>
      </x:c>
      <x:c r="I148" s="7" t="str">
        <x:v>https://flo.uri.sh/visualisation/15494950/embed</x:v>
      </x:c>
    </x:row>
    <x:row r="149" ht="46" customHeight="1">
      <x:c r="A149" s="8" t="n">
        <x:v>145</x:v>
      </x:c>
      <x:c r="B149" s="11" t="str">
        <x:v>Columbia Park</x:v>
      </x:c>
      <x:c r="C149" s="11" t="str">
        <x:v>Replace Backflow preventer device</x:v>
      </x:c>
      <x:c r="D149" s="11" t="str">
        <x:v>Property</x:v>
      </x:c>
      <x:c r="E149" s="11" t="str">
        <x:v>- Replace out of compliance backflow preventer
- Assembly: Double Check Valve Assembly (DCVA)
- Premises Isolation (PI): 1" Double Check (DC)+ Vault. Serial # 01970
- Move to property line, if needed
- Hazard: Right Of Way (ROW)</x:v>
      </x:c>
      <x:c r="F149" s="20" t="n">
        <x:v>10000</x:v>
      </x:c>
      <x:c r="G149" s="8" t="str">
        <x:v>Utilities / lighting / drainage</x:v>
      </x:c>
      <x:c r="H149" s="8" t="str">
        <x:v>KGW November 2023 report; estimate dates not supplied</x:v>
      </x:c>
      <x:c r="I149" s="8" t="str">
        <x:v>https://flo.uri.sh/visualisation/15494950/embed</x:v>
      </x:c>
    </x:row>
    <x:row r="150" ht="46" customHeight="1">
      <x:c r="A150" s="7" t="n">
        <x:v>146</x:v>
      </x:c>
      <x:c r="B150" s="12" t="str">
        <x:v>Columbia Slough Natural Area</x:v>
      </x:c>
      <x:c r="C150" s="12" t="str">
        <x:v>Ecological Restoration_ Columbia Slough Natural Area</x:v>
      </x:c>
      <x:c r="D150" s="12" t="str"/>
      <x:c r="E150" s="12" t="str">
        <x:v>Placholder for Ecological health restoration
Part of (Terwilliger Parkway including George Himes and Duniway) project</x:v>
      </x:c>
      <x:c r="F150" s="21" t="n">
        <x:v>294012</x:v>
      </x:c>
      <x:c r="G150" s="7" t="str">
        <x:v>Other site infrastructure</x:v>
      </x:c>
      <x:c r="H150" s="7" t="str">
        <x:v>KGW November 2023 report; estimate dates not supplied</x:v>
      </x:c>
      <x:c r="I150" s="7" t="str">
        <x:v>https://flo.uri.sh/visualisation/15494950/embed</x:v>
      </x:c>
    </x:row>
    <x:row r="151" ht="46" customHeight="1">
      <x:c r="A151" s="8" t="n">
        <x:v>147</x:v>
      </x:c>
      <x:c r="B151" s="11" t="str">
        <x:v>Columbia Slough Trail</x:v>
      </x:c>
      <x:c r="C151" s="11" t="str">
        <x:v>Paving Improvement on Dyke</x:v>
      </x:c>
      <x:c r="D151" s="11" t="str">
        <x:v>Columbia Slough Trail</x:v>
      </x:c>
      <x:c r="E151" s="11" t="str">
        <x:v>Repair failing road / trail on top of dike.  Existing roadway is failing, extensive potholes and deterioration.  Project will need to be performed after dyke audit is complete.</x:v>
      </x:c>
      <x:c r="F151" s="20" t="n">
        <x:v>352814</x:v>
      </x:c>
      <x:c r="G151" s="8" t="str">
        <x:v>Paths / access / bridges</x:v>
      </x:c>
      <x:c r="H151" s="8" t="str">
        <x:v>KGW November 2023 report; estimate dates not supplied</x:v>
      </x:c>
      <x:c r="I151" s="8" t="str">
        <x:v>https://flo.uri.sh/visualisation/15494950/embed</x:v>
      </x:c>
    </x:row>
    <x:row r="152" ht="46" customHeight="1">
      <x:c r="A152" s="7" t="n">
        <x:v>148</x:v>
      </x:c>
      <x:c r="B152" s="12" t="str">
        <x:v>Colwood Property</x:v>
      </x:c>
      <x:c r="C152" s="12" t="str">
        <x:v>Ecological Restoration_ Colwood Property</x:v>
      </x:c>
      <x:c r="D152" s="12" t="str"/>
      <x:c r="E152" s="12" t="str">
        <x:v>Placholder for Ecological health restoration
Part of (Terwilliger Parkway including George Himes and Duniway) project</x:v>
      </x:c>
      <x:c r="F152" s="21" t="n">
        <x:v>294012</x:v>
      </x:c>
      <x:c r="G152" s="7" t="str">
        <x:v>Other site infrastructure</x:v>
      </x:c>
      <x:c r="H152" s="7" t="str">
        <x:v>KGW November 2023 report; estimate dates not supplied</x:v>
      </x:c>
      <x:c r="I152" s="7" t="str">
        <x:v>https://flo.uri.sh/visualisation/15494950/embed</x:v>
      </x:c>
    </x:row>
    <x:row r="153" ht="46" customHeight="1">
      <x:c r="A153" s="8" t="n">
        <x:v>149</x:v>
      </x:c>
      <x:c r="B153" s="11" t="str">
        <x:v>Colwood Property</x:v>
      </x:c>
      <x:c r="C153" s="11" t="str">
        <x:v>Replace beam under patio</x:v>
      </x:c>
      <x:c r="D153" s="11" t="str">
        <x:v>Colwood Property</x:v>
      </x:c>
      <x:c r="E153" s="11" t="str">
        <x:v>Carpenters Inspect and replace beam under patio on west end of clubhouse.</x:v>
      </x:c>
      <x:c r="F153" s="20" t="n">
        <x:v>23521</x:v>
      </x:c>
      <x:c r="G153" s="8" t="str">
        <x:v>Buildings / building systems</x:v>
      </x:c>
      <x:c r="H153" s="8" t="str">
        <x:v>KGW November 2023 report; estimate dates not supplied</x:v>
      </x:c>
      <x:c r="I153" s="8" t="str">
        <x:v>https://flo.uri.sh/visualisation/15494950/embed</x:v>
      </x:c>
    </x:row>
    <x:row r="154" ht="46" customHeight="1">
      <x:c r="A154" s="7" t="n">
        <x:v>150</x:v>
      </x:c>
      <x:c r="B154" s="12" t="str">
        <x:v>Colwood Property</x:v>
      </x:c>
      <x:c r="C154" s="12" t="str">
        <x:v>Pathway Renovation</x:v>
      </x:c>
      <x:c r="D154" s="12" t="str">
        <x:v>Internal Pathway/ Sidewalk</x:v>
      </x:c>
      <x:c r="E154" s="12" t="str">
        <x:v>Replace the damaged pathway, trails and sidewalks that have been rated as 4 and 5 in Pathway assessment</x:v>
      </x:c>
      <x:c r="F154" s="21" t="n">
        <x:v>15499</x:v>
      </x:c>
      <x:c r="G154" s="7" t="str">
        <x:v>Paths / access / bridges</x:v>
      </x:c>
      <x:c r="H154" s="7" t="str">
        <x:v>KGW November 2023 report; estimate dates not supplied</x:v>
      </x:c>
      <x:c r="I154" s="7" t="str">
        <x:v>https://flo.uri.sh/visualisation/15494950/embed</x:v>
      </x:c>
    </x:row>
    <x:row r="155" ht="46" customHeight="1">
      <x:c r="A155" s="8" t="n">
        <x:v>151</x:v>
      </x:c>
      <x:c r="B155" s="11" t="str">
        <x:v>Colwood Property</x:v>
      </x:c>
      <x:c r="C155" s="11" t="str">
        <x:v>Clubhouse and Cart Barn</x:v>
      </x:c>
      <x:c r="D155" s="11" t="str">
        <x:v>Colwood Property</x:v>
      </x:c>
      <x:c r="E155" s="11" t="str">
        <x:v>- The roof of Clubhouse and Cart Barn is in end of life cycle
- This project derived from Building assessment</x:v>
      </x:c>
      <x:c r="F155" s="20" t="n">
        <x:v>131717</x:v>
      </x:c>
      <x:c r="G155" s="8" t="str">
        <x:v>Buildings / building systems</x:v>
      </x:c>
      <x:c r="H155" s="8" t="str">
        <x:v>KGW November 2023 report; estimate dates not supplied</x:v>
      </x:c>
      <x:c r="I155" s="8" t="str">
        <x:v>https://flo.uri.sh/visualisation/15494950/embed</x:v>
      </x:c>
    </x:row>
    <x:row r="156" ht="46" customHeight="1">
      <x:c r="A156" s="7" t="n">
        <x:v>152</x:v>
      </x:c>
      <x:c r="B156" s="12" t="str">
        <x:v>Colwood Property</x:v>
      </x:c>
      <x:c r="C156" s="12" t="str">
        <x:v>ESPC-III_Buildings Lighting to LEDs</x:v>
      </x:c>
      <x:c r="D156" s="12" t="str">
        <x:v>Maintenance</x:v>
      </x:c>
      <x:c r="E156" s="12" t="str">
        <x:v>LED conversion for Exterior and Interior Lights</x:v>
      </x:c>
      <x:c r="F156" s="21" t="n">
        <x:v>11760</x:v>
      </x:c>
      <x:c r="G156" s="7" t="str">
        <x:v>Buildings / building systems</x:v>
      </x:c>
      <x:c r="H156" s="7" t="str">
        <x:v>KGW November 2023 report; estimate dates not supplied</x:v>
      </x:c>
      <x:c r="I156" s="7" t="str">
        <x:v>https://flo.uri.sh/visualisation/15494950/embed</x:v>
      </x:c>
    </x:row>
    <x:row r="157" ht="46" customHeight="1">
      <x:c r="A157" s="8" t="n">
        <x:v>153</x:v>
      </x:c>
      <x:c r="B157" s="11" t="str">
        <x:v>Community Music Center</x:v>
      </x:c>
      <x:c r="C157" s="11" t="str">
        <x:v>Renovate parking lot_Parking Area A</x:v>
      </x:c>
      <x:c r="D157" s="11" t="str">
        <x:v>Parking Area A</x:v>
      </x:c>
      <x:c r="E157" s="11" t="str">
        <x:v>Repair parking lot that was rated 5 in condition assessment. Repair include surface, drainage and curb. approx area= 3287 sq.ft</x:v>
      </x:c>
      <x:c r="F157" s="20" t="n">
        <x:v>89608</x:v>
      </x:c>
      <x:c r="G157" s="8" t="str">
        <x:v>Utilities / lighting / drainage</x:v>
      </x:c>
      <x:c r="H157" s="8" t="str">
        <x:v>KGW November 2023 report; estimate dates not supplied</x:v>
      </x:c>
      <x:c r="I157" s="8" t="str">
        <x:v>https://flo.uri.sh/visualisation/15494950/embed</x:v>
      </x:c>
    </x:row>
    <x:row r="158" ht="46" customHeight="1">
      <x:c r="A158" s="7" t="n">
        <x:v>154</x:v>
      </x:c>
      <x:c r="B158" s="12" t="str">
        <x:v>Community Music Center</x:v>
      </x:c>
      <x:c r="C158" s="12" t="str">
        <x:v>Pathway Renovation</x:v>
      </x:c>
      <x:c r="D158" s="12" t="str">
        <x:v>Internal Pathway/ Sidewalk</x:v>
      </x:c>
      <x:c r="E158" s="12" t="str">
        <x:v>Replace the damaged pathway, trails and sidewalks that have been rated as 4 and 5 in Pathway assessment</x:v>
      </x:c>
      <x:c r="F158" s="21" t="n">
        <x:v>40943</x:v>
      </x:c>
      <x:c r="G158" s="7" t="str">
        <x:v>Paths / access / bridges</x:v>
      </x:c>
      <x:c r="H158" s="7" t="str">
        <x:v>KGW November 2023 report; estimate dates not supplied</x:v>
      </x:c>
      <x:c r="I158" s="7" t="str">
        <x:v>https://flo.uri.sh/visualisation/15494950/embed</x:v>
      </x:c>
    </x:row>
    <x:row r="159" ht="46" customHeight="1">
      <x:c r="A159" s="8" t="n">
        <x:v>155</x:v>
      </x:c>
      <x:c r="B159" s="11" t="str">
        <x:v>Community Music Center</x:v>
      </x:c>
      <x:c r="C159" s="11" t="str">
        <x:v>CMC – Exterior and Internal Work, and Seismic retrofit</x:v>
      </x:c>
      <x:c r="D159" s="11" t="str">
        <x:v>Community Music Center</x:v>
      </x:c>
      <x:c r="E159" s="11" t="str">
        <x:v>- Project protects and preserves building exterior by removing lead-based paint, repainting, and tuck pointing brick façade.
- Seismic retrofit (incl. tower removal)
-Update and renovate CMC main office and lobby.  Remove existing built-in and replace with ergonomic work stations.  Increase number of electrical outlets and network ports.  Add sliding glass door for privacy in back section of main office.</x:v>
      </x:c>
      <x:c r="F159" s="20" t="n">
        <x:v>232519</x:v>
      </x:c>
      <x:c r="G159" s="8" t="str">
        <x:v>Buildings / building systems</x:v>
      </x:c>
      <x:c r="H159" s="8" t="str">
        <x:v>KGW November 2023 report; estimate dates not supplied</x:v>
      </x:c>
      <x:c r="I159" s="8" t="str">
        <x:v>https://flo.uri.sh/visualisation/15494950/embed</x:v>
      </x:c>
    </x:row>
    <x:row r="160" ht="46" customHeight="1">
      <x:c r="A160" s="7" t="n">
        <x:v>156</x:v>
      </x:c>
      <x:c r="B160" s="12" t="str">
        <x:v>Community Music Center</x:v>
      </x:c>
      <x:c r="C160" s="12" t="str">
        <x:v>Roof Replacement</x:v>
      </x:c>
      <x:c r="D160" s="12" t="str"/>
      <x:c r="E160" s="12" t="str">
        <x:v>Roof in Bad condition and rated as bad through condition aseesment.</x:v>
      </x:c>
      <x:c r="F160" s="21" t="n">
        <x:v>23987</x:v>
      </x:c>
      <x:c r="G160" s="7" t="str">
        <x:v>Buildings / building systems</x:v>
      </x:c>
      <x:c r="H160" s="7" t="str">
        <x:v>KGW November 2023 report; estimate dates not supplied</x:v>
      </x:c>
      <x:c r="I160" s="7" t="str">
        <x:v>https://flo.uri.sh/visualisation/15494950/embed</x:v>
      </x:c>
    </x:row>
    <x:row r="161" ht="46" customHeight="1">
      <x:c r="A161" s="8" t="n">
        <x:v>157</x:v>
      </x:c>
      <x:c r="B161" s="11" t="str">
        <x:v>Community Music Center</x:v>
      </x:c>
      <x:c r="C161" s="11" t="str">
        <x:v>Expand and Relocate Community Music Center</x:v>
      </x:c>
      <x:c r="D161" s="11" t="str">
        <x:v>Community Music Center- ID 46</x:v>
      </x:c>
      <x:c r="E161" s="11" t="str">
        <x:v>The CMC is an unreinforced masonry building, the current facility 
is not well-suited for its purpose, with an inefficient interior floor plan, 
inadequate sound-attenuation, and limited off-street parking. It also 
lacks adequate storage space, office space, lobby area, and other 
support and programmatic space (i.e., choir room, ensemble room, 
teen space).
More detailed analysis is needed to determine if the current site could 
be renovated to meet the desired program needs (either through 
demolition and rebuild, or rehabilitation and expansion of the current 
building), or whether it would be better to find a new site and 
relocate</x:v>
      </x:c>
      <x:c r="F161" s="20" t="n">
        <x:v>16000000</x:v>
      </x:c>
      <x:c r="G161" s="8" t="str">
        <x:v>Buildings / building systems</x:v>
      </x:c>
      <x:c r="H161" s="8" t="str">
        <x:v>KGW November 2023 report; estimate dates not supplied</x:v>
      </x:c>
      <x:c r="I161" s="8" t="str">
        <x:v>https://flo.uri.sh/visualisation/15494950/embed</x:v>
      </x:c>
    </x:row>
    <x:row r="162" ht="46" customHeight="1">
      <x:c r="A162" s="7" t="n">
        <x:v>158</x:v>
      </x:c>
      <x:c r="B162" s="12" t="str">
        <x:v>Community Music Center</x:v>
      </x:c>
      <x:c r="C162" s="12" t="str">
        <x:v>Replace old HVAC system</x:v>
      </x:c>
      <x:c r="D162" s="12" t="str">
        <x:v>Community Music Center</x:v>
      </x:c>
      <x:c r="E162" s="12" t="str">
        <x:v>Placeholder: replace HVAC system that was installed before 2000</x:v>
      </x:c>
      <x:c r="F162" s="21" t="n">
        <x:v>113087</x:v>
      </x:c>
      <x:c r="G162" s="7" t="str">
        <x:v>Buildings / building systems</x:v>
      </x:c>
      <x:c r="H162" s="7" t="str">
        <x:v>KGW November 2023 report; estimate dates not supplied</x:v>
      </x:c>
      <x:c r="I162" s="7" t="str">
        <x:v>https://flo.uri.sh/visualisation/15494950/embed</x:v>
      </x:c>
    </x:row>
    <x:row r="163" ht="46" customHeight="1">
      <x:c r="A163" s="8" t="n">
        <x:v>159</x:v>
      </x:c>
      <x:c r="B163" s="11" t="str">
        <x:v>Cottonwood Bay</x:v>
      </x:c>
      <x:c r="C163" s="11" t="str">
        <x:v>Ecological Restoration_ Cottonwood Bay</x:v>
      </x:c>
      <x:c r="D163" s="11" t="str"/>
      <x:c r="E163" s="11" t="str">
        <x:v>Placholder for Ecological health restoration</x:v>
      </x:c>
      <x:c r="F163" s="20" t="n">
        <x:v>147006</x:v>
      </x:c>
      <x:c r="G163" s="8" t="str">
        <x:v>Other site infrastructure</x:v>
      </x:c>
      <x:c r="H163" s="8" t="str">
        <x:v>KGW November 2023 report; estimate dates not supplied</x:v>
      </x:c>
      <x:c r="I163" s="8" t="str">
        <x:v>https://flo.uri.sh/visualisation/15494950/embed</x:v>
      </x:c>
    </x:row>
    <x:row r="164" ht="46" customHeight="1">
      <x:c r="A164" s="7" t="n">
        <x:v>160</x:v>
      </x:c>
      <x:c r="B164" s="12" t="str">
        <x:v>Cottonwood Creek Natural Area</x:v>
      </x:c>
      <x:c r="C164" s="12" t="str">
        <x:v>Ecological Restoration_ Cottonwood Creek Natural Area</x:v>
      </x:c>
      <x:c r="D164" s="12" t="str"/>
      <x:c r="E164" s="12" t="str">
        <x:v>Placholder for Ecological health restoration</x:v>
      </x:c>
      <x:c r="F164" s="21" t="n">
        <x:v>147006</x:v>
      </x:c>
      <x:c r="G164" s="7" t="str">
        <x:v>Other site infrastructure</x:v>
      </x:c>
      <x:c r="H164" s="7" t="str">
        <x:v>KGW November 2023 report; estimate dates not supplied</x:v>
      </x:c>
      <x:c r="I164" s="7" t="str">
        <x:v>https://flo.uri.sh/visualisation/15494950/embed</x:v>
      </x:c>
    </x:row>
    <x:row r="165" ht="46" customHeight="1">
      <x:c r="A165" s="8" t="n">
        <x:v>161</x:v>
      </x:c>
      <x:c r="B165" s="11" t="str">
        <x:v>Couch Park</x:v>
      </x:c>
      <x:c r="C165" s="11" t="str">
        <x:v>Renovate the Roof of Storage building</x:v>
      </x:c>
      <x:c r="D165" s="11" t="str">
        <x:v>Storage A</x:v>
      </x:c>
      <x:c r="E165" s="11" t="str">
        <x:v>Fix or replace the Roof that is rated 4 through buildings' assessment</x:v>
      </x:c>
      <x:c r="F165" s="20" t="n">
        <x:v>73917</x:v>
      </x:c>
      <x:c r="G165" s="8" t="str">
        <x:v>Buildings / building systems</x:v>
      </x:c>
      <x:c r="H165" s="8" t="str">
        <x:v>KGW November 2023 report; estimate dates not supplied</x:v>
      </x:c>
      <x:c r="I165" s="8" t="str">
        <x:v>https://flo.uri.sh/visualisation/15494950/embed</x:v>
      </x:c>
    </x:row>
    <x:row r="166" ht="46" customHeight="1">
      <x:c r="A166" s="7" t="n">
        <x:v>162</x:v>
      </x:c>
      <x:c r="B166" s="12" t="str">
        <x:v>Couch Park</x:v>
      </x:c>
      <x:c r="C166" s="12" t="str">
        <x:v>East Side "Bowl"</x:v>
      </x:c>
      <x:c r="D166" s="12" t="str">
        <x:v>Couch Park</x:v>
      </x:c>
      <x:c r="E166" s="12" t="str">
        <x:v>Recontour bowl area and reduce slope; add seating and plantings at east entry points; replace sign in new location.</x:v>
      </x:c>
      <x:c r="F166" s="21" t="n">
        <x:v>234946</x:v>
      </x:c>
      <x:c r="G166" s="7" t="str">
        <x:v>Other site infrastructure</x:v>
      </x:c>
      <x:c r="H166" s="7" t="str">
        <x:v>KGW November 2023 report; estimate dates not supplied</x:v>
      </x:c>
      <x:c r="I166" s="7" t="str">
        <x:v>https://flo.uri.sh/visualisation/15494950/embed</x:v>
      </x:c>
    </x:row>
    <x:row r="167" ht="46" customHeight="1">
      <x:c r="A167" s="8" t="n">
        <x:v>163</x:v>
      </x:c>
      <x:c r="B167" s="11" t="str">
        <x:v>Couch Park</x:v>
      </x:c>
      <x:c r="C167" s="11" t="str">
        <x:v>Pathway Renovation</x:v>
      </x:c>
      <x:c r="D167" s="11" t="str">
        <x:v>Pathway and stairs</x:v>
      </x:c>
      <x:c r="E167" s="11" t="str">
        <x:v>Replace the damaged pathway, trails and sidewalks that have been rated as 4 and 5 in Pathway assessment</x:v>
      </x:c>
      <x:c r="F167" s="20" t="n">
        <x:v>229329</x:v>
      </x:c>
      <x:c r="G167" s="8" t="str">
        <x:v>Paths / access / bridges</x:v>
      </x:c>
      <x:c r="H167" s="8" t="str">
        <x:v>KGW November 2023 report; estimate dates not supplied</x:v>
      </x:c>
      <x:c r="I167" s="8" t="str">
        <x:v>https://flo.uri.sh/visualisation/15494950/embed</x:v>
      </x:c>
    </x:row>
    <x:row r="168" ht="46" customHeight="1">
      <x:c r="A168" s="7" t="n">
        <x:v>164</x:v>
      </x:c>
      <x:c r="B168" s="12" t="str">
        <x:v>Couch Park</x:v>
      </x:c>
      <x:c r="C168" s="12" t="str">
        <x:v>ESPC-III_Buildings Lighting to LEDs</x:v>
      </x:c>
      <x:c r="D168" s="12" t="str">
        <x:v>Restroom</x:v>
      </x:c>
      <x:c r="E168" s="12" t="str">
        <x:v>LED conversion for Exterior and Interior Lights</x:v>
      </x:c>
      <x:c r="F168" s="21" t="n">
        <x:v>11760</x:v>
      </x:c>
      <x:c r="G168" s="7" t="str">
        <x:v>Buildings / building systems</x:v>
      </x:c>
      <x:c r="H168" s="7" t="str">
        <x:v>KGW November 2023 report; estimate dates not supplied</x:v>
      </x:c>
      <x:c r="I168" s="7" t="str">
        <x:v>https://flo.uri.sh/visualisation/15494950/embed</x:v>
      </x:c>
    </x:row>
    <x:row r="169" ht="46" customHeight="1">
      <x:c r="A169" s="8" t="n">
        <x:v>165</x:v>
      </x:c>
      <x:c r="B169" s="11" t="str">
        <x:v>Council Crest Park</x:v>
      </x:c>
      <x:c r="C169" s="11" t="str">
        <x:v>Pathway Renovation</x:v>
      </x:c>
      <x:c r="D169" s="11" t="str">
        <x:v>Council Crest Park</x:v>
      </x:c>
      <x:c r="E169" s="11" t="str">
        <x:v>Replace the damaged pathway, trails and sidewalks that have been rated as 4 and 5 in Pathway assessment</x:v>
      </x:c>
      <x:c r="F169" s="20" t="n">
        <x:v>105844</x:v>
      </x:c>
      <x:c r="G169" s="8" t="str">
        <x:v>Paths / access / bridges</x:v>
      </x:c>
      <x:c r="H169" s="8" t="str">
        <x:v>KGW November 2023 report; estimate dates not supplied</x:v>
      </x:c>
      <x:c r="I169" s="8" t="str">
        <x:v>https://flo.uri.sh/visualisation/15494950/embed</x:v>
      </x:c>
    </x:row>
    <x:row r="170" ht="46" customHeight="1">
      <x:c r="A170" s="7" t="n">
        <x:v>166</x:v>
      </x:c>
      <x:c r="B170" s="12" t="str">
        <x:v>Creston Park</x:v>
      </x:c>
      <x:c r="C170" s="12" t="str">
        <x:v>Renovate sport field</x:v>
      </x:c>
      <x:c r="D170" s="12" t="str">
        <x:v>Sports Field 1, Ball Field 1</x:v>
      </x:c>
      <x:c r="E170" s="12" t="str">
        <x:v>Sport fields rated 4 or 5 in condition assessment</x:v>
      </x:c>
      <x:c r="F170" s="21" t="n">
        <x:v>867002</x:v>
      </x:c>
      <x:c r="G170" s="7" t="str">
        <x:v>Fields / courts / play</x:v>
      </x:c>
      <x:c r="H170" s="7" t="str">
        <x:v>KGW November 2023 report; estimate dates not supplied</x:v>
      </x:c>
      <x:c r="I170" s="7" t="str">
        <x:v>https://flo.uri.sh/visualisation/15494950/embed</x:v>
      </x:c>
    </x:row>
    <x:row r="171" ht="46" customHeight="1">
      <x:c r="A171" s="8" t="n">
        <x:v>167</x:v>
      </x:c>
      <x:c r="B171" s="11" t="str">
        <x:v>Creston Park</x:v>
      </x:c>
      <x:c r="C171" s="11" t="str">
        <x:v>Pathway Renovation</x:v>
      </x:c>
      <x:c r="D171" s="11" t="str">
        <x:v>Internal Pathway/ Sidewalk</x:v>
      </x:c>
      <x:c r="E171" s="11" t="str">
        <x:v>Replace the damaged pathway, trails and sidewalks that have been rated as 4 and 5 in Pathway assessment</x:v>
      </x:c>
      <x:c r="F171" s="20" t="n">
        <x:v>51029</x:v>
      </x:c>
      <x:c r="G171" s="8" t="str">
        <x:v>Paths / access / bridges</x:v>
      </x:c>
      <x:c r="H171" s="8" t="str">
        <x:v>KGW November 2023 report; estimate dates not supplied</x:v>
      </x:c>
      <x:c r="I171" s="8" t="str">
        <x:v>https://flo.uri.sh/visualisation/15494950/embed</x:v>
      </x:c>
    </x:row>
    <x:row r="172" ht="46" customHeight="1">
      <x:c r="A172" s="7" t="n">
        <x:v>168</x:v>
      </x:c>
      <x:c r="B172" s="12" t="str">
        <x:v>Creston Park</x:v>
      </x:c>
      <x:c r="C172" s="12" t="str">
        <x:v>Picnic area improvements</x:v>
      </x:c>
      <x:c r="D172" s="12" t="str">
        <x:v>Creston Park</x:v>
      </x:c>
      <x:c r="E172" s="12" t="str">
        <x:v>Replace concrete picnic table with wood, and consider a picnic shelter.  Replaces CIP 1952, projects were split out.</x:v>
      </x:c>
      <x:c r="F172" s="21" t="n">
        <x:v>46616</x:v>
      </x:c>
      <x:c r="G172" s="7" t="str">
        <x:v>Other site infrastructure</x:v>
      </x:c>
      <x:c r="H172" s="7" t="str">
        <x:v>KGW November 2023 report; estimate dates not supplied</x:v>
      </x:c>
      <x:c r="I172" s="7" t="str">
        <x:v>https://flo.uri.sh/visualisation/15494950/embed</x:v>
      </x:c>
    </x:row>
    <x:row r="173" ht="46" customHeight="1">
      <x:c r="A173" s="8" t="n">
        <x:v>169</x:v>
      </x:c>
      <x:c r="B173" s="11" t="str">
        <x:v>Creston Park</x:v>
      </x:c>
      <x:c r="C173" s="11" t="str">
        <x:v>Repalce back flow preventer</x:v>
      </x:c>
      <x:c r="D173" s="11" t="str">
        <x:v>Creston Park</x:v>
      </x:c>
      <x:c r="E173" s="11" t="str">
        <x:v>Domestic BFP (back flow preventer) replacement: 
•	Located within the ROW of SE Powell Blvd on the north side of the park.  Current device is located within the public meter vault.
•	New RP BFP  must be located on-site within an above-ground enclosure 
•	Must be located in a separate vault from the meter and outside of the ROW on private property</x:v>
      </x:c>
      <x:c r="F173" s="20" t="n">
        <x:v>41162</x:v>
      </x:c>
      <x:c r="G173" s="8" t="str">
        <x:v>Other site infrastructure</x:v>
      </x:c>
      <x:c r="H173" s="8" t="str">
        <x:v>KGW November 2023 report; estimate dates not supplied</x:v>
      </x:c>
      <x:c r="I173" s="8" t="str">
        <x:v>https://flo.uri.sh/visualisation/15494950/embed</x:v>
      </x:c>
    </x:row>
    <x:row r="174" ht="46" customHeight="1">
      <x:c r="A174" s="7" t="n">
        <x:v>170</x:v>
      </x:c>
      <x:c r="B174" s="12" t="str">
        <x:v>Creston Park</x:v>
      </x:c>
      <x:c r="C174" s="12" t="str">
        <x:v>Upgrade the fence of outdoor pool</x:v>
      </x:c>
      <x:c r="D174" s="12" t="str">
        <x:v>Outdoor pool</x:v>
      </x:c>
      <x:c r="E174" s="12" t="str">
        <x:v>Pool fence height is about 6 ft which is not adequate to prevent trespassing
Suggestion: Expand the height of the fence to 12 ft with sturdier mesh that is not easy to cut or penetrate.</x:v>
      </x:c>
      <x:c r="F174" s="21" t="n">
        <x:v>40000</x:v>
      </x:c>
      <x:c r="G174" s="7" t="str">
        <x:v>Pools / aquatics</x:v>
      </x:c>
      <x:c r="H174" s="7" t="str">
        <x:v>KGW November 2023 report; estimate dates not supplied</x:v>
      </x:c>
      <x:c r="I174" s="7" t="str">
        <x:v>https://flo.uri.sh/visualisation/15494950/embed</x:v>
      </x:c>
    </x:row>
    <x:row r="175" ht="46" customHeight="1">
      <x:c r="A175" s="8" t="n">
        <x:v>171</x:v>
      </x:c>
      <x:c r="B175" s="11" t="str">
        <x:v>Creston Park</x:v>
      </x:c>
      <x:c r="C175" s="11" t="str">
        <x:v>Repair/Replace Staircase</x:v>
      </x:c>
      <x:c r="D175" s="11" t="str">
        <x:v>Creston Park</x:v>
      </x:c>
      <x:c r="E175" s="11" t="str">
        <x:v>Staircase near pool/tennis court is hazardous</x:v>
      </x:c>
      <x:c r="F175" s="20" t="n">
        <x:v>35281</x:v>
      </x:c>
      <x:c r="G175" s="8" t="str">
        <x:v>Pools / aquatics</x:v>
      </x:c>
      <x:c r="H175" s="8" t="str">
        <x:v>KGW November 2023 report; estimate dates not supplied</x:v>
      </x:c>
      <x:c r="I175" s="8" t="str">
        <x:v>https://flo.uri.sh/visualisation/15494950/embed</x:v>
      </x:c>
    </x:row>
    <x:row r="176" ht="46" customHeight="1">
      <x:c r="A176" s="7" t="n">
        <x:v>172</x:v>
      </x:c>
      <x:c r="B176" s="12" t="str">
        <x:v>Creston Park</x:v>
      </x:c>
      <x:c r="C176" s="12" t="str">
        <x:v>Tennis and handball court renovation</x:v>
      </x:c>
      <x:c r="D176" s="12" t="str">
        <x:v>Creston Park</x:v>
      </x:c>
      <x:c r="E176" s="12" t="str">
        <x:v>Renovate the tennis and handball court.  Replaces CIP 1952, projects were split out.</x:v>
      </x:c>
      <x:c r="F176" s="21" t="n">
        <x:v>205112</x:v>
      </x:c>
      <x:c r="G176" s="7" t="str">
        <x:v>Fields / courts / play</x:v>
      </x:c>
      <x:c r="H176" s="7" t="str">
        <x:v>KGW November 2023 report; estimate dates not supplied</x:v>
      </x:c>
      <x:c r="I176" s="7" t="str">
        <x:v>https://flo.uri.sh/visualisation/15494950/embed</x:v>
      </x:c>
    </x:row>
    <x:row r="177" ht="46" customHeight="1">
      <x:c r="A177" s="8" t="n">
        <x:v>173</x:v>
      </x:c>
      <x:c r="B177" s="11" t="str">
        <x:v>Creston Park</x:v>
      </x:c>
      <x:c r="C177" s="11" t="str">
        <x:v>Renovate Restroom roof</x:v>
      </x:c>
      <x:c r="D177" s="11" t="str">
        <x:v>Creston Park</x:v>
      </x:c>
      <x:c r="E177" s="11" t="str">
        <x:v>- The roof of restroom B is in end of life cycle
- This project derived from Building assessment</x:v>
      </x:c>
      <x:c r="F177" s="20" t="n">
        <x:v>14113</x:v>
      </x:c>
      <x:c r="G177" s="8" t="str">
        <x:v>Buildings / building systems</x:v>
      </x:c>
      <x:c r="H177" s="8" t="str">
        <x:v>KGW November 2023 report; estimate dates not supplied</x:v>
      </x:c>
      <x:c r="I177" s="8" t="str">
        <x:v>https://flo.uri.sh/visualisation/15494950/embed</x:v>
      </x:c>
    </x:row>
    <x:row r="178" ht="46" customHeight="1">
      <x:c r="A178" s="7" t="n">
        <x:v>174</x:v>
      </x:c>
      <x:c r="B178" s="12" t="str">
        <x:v>Creston Park</x:v>
      </x:c>
      <x:c r="C178" s="12" t="str">
        <x:v>ESPC-III_Buildings Lighting to LEDs</x:v>
      </x:c>
      <x:c r="D178" s="12" t="str">
        <x:v>Shelter</x:v>
      </x:c>
      <x:c r="E178" s="12" t="str">
        <x:v>LED conversion for Exterior and Interior Lights</x:v>
      </x:c>
      <x:c r="F178" s="21" t="n">
        <x:v>11760</x:v>
      </x:c>
      <x:c r="G178" s="7" t="str">
        <x:v>Buildings / building systems</x:v>
      </x:c>
      <x:c r="H178" s="7" t="str">
        <x:v>KGW November 2023 report; estimate dates not supplied</x:v>
      </x:c>
      <x:c r="I178" s="7" t="str">
        <x:v>https://flo.uri.sh/visualisation/15494950/embed</x:v>
      </x:c>
    </x:row>
    <x:row r="179" ht="46" customHeight="1">
      <x:c r="A179" s="8" t="n">
        <x:v>175</x:v>
      </x:c>
      <x:c r="B179" s="11" t="str">
        <x:v>Creston Park</x:v>
      </x:c>
      <x:c r="C179" s="11" t="str">
        <x:v>ESPC-III_Buildings Lighting to LEDs</x:v>
      </x:c>
      <x:c r="D179" s="11" t="str">
        <x:v>Restroom</x:v>
      </x:c>
      <x:c r="E179" s="11" t="str">
        <x:v>LED conversion for Exterior and Interior Lights</x:v>
      </x:c>
      <x:c r="F179" s="20" t="n">
        <x:v>11760</x:v>
      </x:c>
      <x:c r="G179" s="8" t="str">
        <x:v>Buildings / building systems</x:v>
      </x:c>
      <x:c r="H179" s="8" t="str">
        <x:v>KGW November 2023 report; estimate dates not supplied</x:v>
      </x:c>
      <x:c r="I179" s="8" t="str">
        <x:v>https://flo.uri.sh/visualisation/15494950/embed</x:v>
      </x:c>
    </x:row>
    <x:row r="180" ht="46" customHeight="1">
      <x:c r="A180" s="7" t="n">
        <x:v>176</x:v>
      </x:c>
      <x:c r="B180" s="12" t="str">
        <x:v>Cross Levee Natural Area</x:v>
      </x:c>
      <x:c r="C180" s="12" t="str">
        <x:v>Pathway Renovation</x:v>
      </x:c>
      <x:c r="D180" s="12" t="str">
        <x:v>Internal Pathway/ Sidewalk</x:v>
      </x:c>
      <x:c r="E180" s="12" t="str">
        <x:v>Replace the damaged pathway, trails and sidewalks that have been rated as 4 and 5 in Pathway assessment</x:v>
      </x:c>
      <x:c r="F180" s="21" t="n">
        <x:v>32474</x:v>
      </x:c>
      <x:c r="G180" s="7" t="str">
        <x:v>Paths / access / bridges</x:v>
      </x:c>
      <x:c r="H180" s="7" t="str">
        <x:v>KGW November 2023 report; estimate dates not supplied</x:v>
      </x:c>
      <x:c r="I180" s="7" t="str">
        <x:v>https://flo.uri.sh/visualisation/15494950/embed</x:v>
      </x:c>
    </x:row>
    <x:row r="181" ht="46" customHeight="1">
      <x:c r="A181" s="8" t="n">
        <x:v>177</x:v>
      </x:c>
      <x:c r="B181" s="11" t="str">
        <x:v>Cross Levee Natural Area</x:v>
      </x:c>
      <x:c r="C181" s="11" t="str">
        <x:v>Ecological Restoration_ Cross Levee Natural Area</x:v>
      </x:c>
      <x:c r="D181" s="11" t="str"/>
      <x:c r="E181" s="11" t="str">
        <x:v>Placholder for Ecological health restoration</x:v>
      </x:c>
      <x:c r="F181" s="20" t="n">
        <x:v>147006</x:v>
      </x:c>
      <x:c r="G181" s="8" t="str">
        <x:v>Other site infrastructure</x:v>
      </x:c>
      <x:c r="H181" s="8" t="str">
        <x:v>KGW November 2023 report; estimate dates not supplied</x:v>
      </x:c>
      <x:c r="I181" s="8" t="str">
        <x:v>https://flo.uri.sh/visualisation/15494950/embed</x:v>
      </x:c>
    </x:row>
    <x:row r="182" ht="46" customHeight="1">
      <x:c r="A182" s="7" t="n">
        <x:v>178</x:v>
      </x:c>
      <x:c r="B182" s="12" t="str">
        <x:v>Crystal Springs Rhododendron Garden</x:v>
      </x:c>
      <x:c r="C182" s="12" t="str">
        <x:v>Roof Replacement</x:v>
      </x:c>
      <x:c r="D182" s="12" t="str"/>
      <x:c r="E182" s="12" t="str">
        <x:v>Roof in Bad condition and rated as bad through condition aseesment:
Pump House
Restroom A
Tool Storage Shed A
Gate House
Cool house</x:v>
      </x:c>
      <x:c r="F182" s="21" t="n">
        <x:v>95946</x:v>
      </x:c>
      <x:c r="G182" s="7" t="str">
        <x:v>Buildings / building systems</x:v>
      </x:c>
      <x:c r="H182" s="7" t="str">
        <x:v>KGW November 2023 report; estimate dates not supplied</x:v>
      </x:c>
      <x:c r="I182" s="7" t="str">
        <x:v>https://flo.uri.sh/visualisation/15494950/embed</x:v>
      </x:c>
    </x:row>
    <x:row r="183" ht="46" customHeight="1">
      <x:c r="A183" s="8" t="n">
        <x:v>179</x:v>
      </x:c>
      <x:c r="B183" s="11" t="str">
        <x:v>Crystal Springs Rhododendron Garden</x:v>
      </x:c>
      <x:c r="C183" s="11" t="str">
        <x:v>Pathway Renovation</x:v>
      </x:c>
      <x:c r="D183" s="11" t="str">
        <x:v>Internal Pathway/ Sidewalk</x:v>
      </x:c>
      <x:c r="E183" s="11" t="str">
        <x:v>Replace the damaged pathway, trails and sidewalks that have been rated as 4 and 5 in Pathway assessment</x:v>
      </x:c>
      <x:c r="F183" s="20" t="n">
        <x:v>78284</x:v>
      </x:c>
      <x:c r="G183" s="8" t="str">
        <x:v>Paths / access / bridges</x:v>
      </x:c>
      <x:c r="H183" s="8" t="str">
        <x:v>KGW November 2023 report; estimate dates not supplied</x:v>
      </x:c>
      <x:c r="I183" s="8" t="str">
        <x:v>https://flo.uri.sh/visualisation/15494950/embed</x:v>
      </x:c>
    </x:row>
    <x:row r="184" ht="46" customHeight="1">
      <x:c r="A184" s="7" t="n">
        <x:v>180</x:v>
      </x:c>
      <x:c r="B184" s="12" t="str">
        <x:v>Crystal Springs Rhododendron Garden</x:v>
      </x:c>
      <x:c r="C184" s="12" t="str">
        <x:v>Retaining walls and slope stabilize</x:v>
      </x:c>
      <x:c r="D184" s="12" t="str"/>
      <x:c r="E184" s="12" t="str">
        <x:v>investigate and repair or replace retaining walls, stabilize slope
Long Term
- 	Determine if the goal is to replace walls to match rest of garden or repair existing walls. 
- Repair existing walls with voids behind them by backfilling the void space with angular crushed drain rock and seal the surface behind the wall with top soil or silty soil to reduce water seepage directly into the drain rock. 
	Secure a Geotech to provide:
a.	summary of all subsurface exploration data, including subsurface soil profile, laboratory test results, and ground water information;
b.	Eight (8) locations will be sampled up to 12ft deep to collect soil samples along the pathway from the top to the bottom;
c.	Three (3) locations to use a portable drill rigp0 to drive one meter metal rods into the soil next to the existing pathway to determine the strength and cohesion of the existing soils;
d.	Bearing capacity, seismic and geological hazards will be included in the report
e.	Consider doing Slope stability analysis of the existing site layout using GSTABL, just to get a bigger picture and to confirm these initial thoughts</x:v>
      </x:c>
      <x:c r="F184" s="21" t="n">
        <x:v>65608</x:v>
      </x:c>
      <x:c r="G184" s="7" t="str">
        <x:v>Buildings / building systems</x:v>
      </x:c>
      <x:c r="H184" s="7" t="str">
        <x:v>KGW November 2023 report; estimate dates not supplied</x:v>
      </x:c>
      <x:c r="I184" s="7" t="str">
        <x:v>https://flo.uri.sh/visualisation/15494950/embed</x:v>
      </x:c>
    </x:row>
    <x:row r="185" ht="46" customHeight="1">
      <x:c r="A185" s="8" t="n">
        <x:v>181</x:v>
      </x:c>
      <x:c r="B185" s="11" t="str">
        <x:v>Crystal Springs Rhododendron Garden</x:v>
      </x:c>
      <x:c r="C185" s="11" t="str">
        <x:v>Cool House replace</x:v>
      </x:c>
      <x:c r="D185" s="11" t="str">
        <x:v>Crystal Springs Rhododendron Garden</x:v>
      </x:c>
      <x:c r="E185" s="11" t="str">
        <x:v>Replace the roof of Cool House</x:v>
      </x:c>
      <x:c r="F185" s="20" t="n">
        <x:v>59967</x:v>
      </x:c>
      <x:c r="G185" s="8" t="str">
        <x:v>Buildings / building systems</x:v>
      </x:c>
      <x:c r="H185" s="8" t="str">
        <x:v>KGW November 2023 report; estimate dates not supplied</x:v>
      </x:c>
      <x:c r="I185" s="8" t="str">
        <x:v>https://flo.uri.sh/visualisation/15494950/embed</x:v>
      </x:c>
    </x:row>
    <x:row r="186" ht="46" customHeight="1">
      <x:c r="A186" s="7" t="n">
        <x:v>182</x:v>
      </x:c>
      <x:c r="B186" s="12" t="str">
        <x:v>Crystal Springs Rhododendron Garden</x:v>
      </x:c>
      <x:c r="C186" s="12" t="str">
        <x:v>repair failing Storm System</x:v>
      </x:c>
      <x:c r="D186" s="12" t="str">
        <x:v>Crystal Springs Rhododendron Garden</x:v>
      </x:c>
      <x:c r="E186" s="12" t="str">
        <x:v>evaluate and repair failing Storm System</x:v>
      </x:c>
      <x:c r="F186" s="21" t="n">
        <x:v>59967</x:v>
      </x:c>
      <x:c r="G186" s="7" t="str">
        <x:v>Utilities / lighting / drainage</x:v>
      </x:c>
      <x:c r="H186" s="7" t="str">
        <x:v>KGW November 2023 report; estimate dates not supplied</x:v>
      </x:c>
      <x:c r="I186" s="7" t="str">
        <x:v>https://flo.uri.sh/visualisation/15494950/embed</x:v>
      </x:c>
    </x:row>
    <x:row r="187" ht="46" customHeight="1">
      <x:c r="A187" s="8" t="n">
        <x:v>183</x:v>
      </x:c>
      <x:c r="B187" s="11" t="str">
        <x:v>Crystal Springs Rhododendron Garden</x:v>
      </x:c>
      <x:c r="C187" s="11" t="str">
        <x:v>Repair Bridge across water body</x:v>
      </x:c>
      <x:c r="D187" s="11" t="str">
        <x:v>Crystal Springs Rhododendron Garden</x:v>
      </x:c>
      <x:c r="E187" s="11" t="str">
        <x:v>the bridge has significant damage and is a serious safety hazard to park patrons</x:v>
      </x:c>
      <x:c r="F187" s="20" t="n">
        <x:v>23521</x:v>
      </x:c>
      <x:c r="G187" s="8" t="str">
        <x:v>Paths / access / bridges</x:v>
      </x:c>
      <x:c r="H187" s="8" t="str">
        <x:v>KGW November 2023 report; estimate dates not supplied</x:v>
      </x:c>
      <x:c r="I187" s="8" t="str">
        <x:v>https://flo.uri.sh/visualisation/15494950/embed</x:v>
      </x:c>
    </x:row>
    <x:row r="188" ht="46" customHeight="1">
      <x:c r="A188" s="7" t="n">
        <x:v>184</x:v>
      </x:c>
      <x:c r="B188" s="12" t="str">
        <x:v>Crystal Springs Rhododendron Garden</x:v>
      </x:c>
      <x:c r="C188" s="12" t="str">
        <x:v>Replace Failing Irrigation Pumps, Construct New Pu</x:v>
      </x:c>
      <x:c r="D188" s="12" t="str">
        <x:v>Crystal Springs Rhododendron Garden</x:v>
      </x:c>
      <x:c r="E188" s="12" t="str">
        <x:v>Install new pumps and construct new pump house.
Limb fall caused large hole in pump house roof. Pump house in severe disrepair. Covered with tarp in 2013</x:v>
      </x:c>
      <x:c r="F188" s="21" t="n">
        <x:v>185083</x:v>
      </x:c>
      <x:c r="G188" s="7" t="str">
        <x:v>Buildings / building systems</x:v>
      </x:c>
      <x:c r="H188" s="7" t="str">
        <x:v>KGW November 2023 report; estimate dates not supplied</x:v>
      </x:c>
      <x:c r="I188" s="7" t="str">
        <x:v>https://flo.uri.sh/visualisation/15494950/embed</x:v>
      </x:c>
    </x:row>
    <x:row r="189" ht="46" customHeight="1">
      <x:c r="A189" s="8" t="n">
        <x:v>185</x:v>
      </x:c>
      <x:c r="B189" s="11" t="str">
        <x:v>Crystal Springs Rhododendron Garden</x:v>
      </x:c>
      <x:c r="C189" s="11" t="str">
        <x:v>Replace Backflow preventer device</x:v>
      </x:c>
      <x:c r="D189" s="11" t="str">
        <x:v>Property</x:v>
      </x:c>
      <x:c r="E189" s="11" t="str">
        <x:v>- Replace out of compliance backflow preventer
- Assembly: Double Check Valve Assembly (DCVA)
- Premises Isolation (PI): 3/4" Reduced Pressure (RP)+ Enclosure. Serial # 59085
- Move to property line, if needed
- Hazard: well Site</x:v>
      </x:c>
      <x:c r="F189" s="20" t="n">
        <x:v>10000</x:v>
      </x:c>
      <x:c r="G189" s="8" t="str">
        <x:v>Utilities / lighting / drainage</x:v>
      </x:c>
      <x:c r="H189" s="8" t="str">
        <x:v>KGW November 2023 report; estimate dates not supplied</x:v>
      </x:c>
      <x:c r="I189" s="8" t="str">
        <x:v>https://flo.uri.sh/visualisation/15494950/embed</x:v>
      </x:c>
    </x:row>
    <x:row r="190" ht="46" customHeight="1">
      <x:c r="A190" s="7" t="n">
        <x:v>186</x:v>
      </x:c>
      <x:c r="B190" s="12" t="str">
        <x:v>Darcelle XV Plaza</x:v>
      </x:c>
      <x:c r="C190" s="12" t="str">
        <x:v>ESPC-III_Buildings Lighting to LEDs</x:v>
      </x:c>
      <x:c r="D190" s="12" t="str">
        <x:v>Shelter</x:v>
      </x:c>
      <x:c r="E190" s="12" t="str">
        <x:v>LED conversion for Exterior and Interior Lights</x:v>
      </x:c>
      <x:c r="F190" s="21" t="n">
        <x:v>11760</x:v>
      </x:c>
      <x:c r="G190" s="7" t="str">
        <x:v>Buildings / building systems</x:v>
      </x:c>
      <x:c r="H190" s="7" t="str">
        <x:v>KGW November 2023 report; estimate dates not supplied</x:v>
      </x:c>
      <x:c r="I190" s="7" t="str">
        <x:v>https://flo.uri.sh/visualisation/15494950/embed</x:v>
      </x:c>
    </x:row>
    <x:row r="191" ht="46" customHeight="1">
      <x:c r="A191" s="8" t="n">
        <x:v>187</x:v>
      </x:c>
      <x:c r="B191" s="11" t="str">
        <x:v>David Douglas Community Garden</x:v>
      </x:c>
      <x:c r="C191" s="11" t="str">
        <x:v>David Douglas HS - 2 Soccer, 2 Ball Fields</x:v>
      </x:c>
      <x:c r="D191" s="11" t="str">
        <x:v>David Douglas HS</x:v>
      </x:c>
      <x:c r="E191" s="11" t="str">
        <x:v>***Remove fm Bond: no reciprocity from HS fields *** CONTRIBUTION toward converting natural grass at selected schools to synthetic turf. Lights.</x:v>
      </x:c>
      <x:c r="F191" s="20" t="n">
        <x:v>135295</x:v>
      </x:c>
      <x:c r="G191" s="8" t="str">
        <x:v>Fields / courts / play</x:v>
      </x:c>
      <x:c r="H191" s="8" t="str">
        <x:v>KGW November 2023 report; estimate dates not supplied</x:v>
      </x:c>
      <x:c r="I191" s="8" t="str">
        <x:v>https://flo.uri.sh/visualisation/15494950/embed</x:v>
      </x:c>
    </x:row>
    <x:row r="192" ht="46" customHeight="1">
      <x:c r="A192" s="7" t="n">
        <x:v>188</x:v>
      </x:c>
      <x:c r="B192" s="12" t="str">
        <x:v>Dawson Park</x:v>
      </x:c>
      <x:c r="C192" s="12" t="str">
        <x:v>Renovate the Roof of Shelter - Restroom - Storage building</x:v>
      </x:c>
      <x:c r="D192" s="12" t="str">
        <x:v>Restroom A</x:v>
      </x:c>
      <x:c r="E192" s="12" t="str">
        <x:v>Fix or replace the Roof that is rated 4 through buildings' assessment</x:v>
      </x:c>
      <x:c r="F192" s="21" t="n">
        <x:v>471980</x:v>
      </x:c>
      <x:c r="G192" s="7" t="str">
        <x:v>Buildings / building systems</x:v>
      </x:c>
      <x:c r="H192" s="7" t="str">
        <x:v>KGW November 2023 report; estimate dates not supplied</x:v>
      </x:c>
      <x:c r="I192" s="7" t="str">
        <x:v>https://flo.uri.sh/visualisation/15494950/embed</x:v>
      </x:c>
    </x:row>
    <x:row r="193" ht="46" customHeight="1">
      <x:c r="A193" s="8" t="n">
        <x:v>189</x:v>
      </x:c>
      <x:c r="B193" s="11" t="str">
        <x:v>Dawson Park</x:v>
      </x:c>
      <x:c r="C193" s="11" t="str">
        <x:v>Pathway Renovation</x:v>
      </x:c>
      <x:c r="D193" s="11" t="str">
        <x:v>Internal Pathway/ Sidewalk</x:v>
      </x:c>
      <x:c r="E193" s="11" t="str">
        <x:v>Replace the damaged pathway, trails and sidewalks that have been rated as 4 and 5 in Pathway assessment</x:v>
      </x:c>
      <x:c r="F193" s="20" t="n">
        <x:v>46807</x:v>
      </x:c>
      <x:c r="G193" s="8" t="str">
        <x:v>Paths / access / bridges</x:v>
      </x:c>
      <x:c r="H193" s="8" t="str">
        <x:v>KGW November 2023 report; estimate dates not supplied</x:v>
      </x:c>
      <x:c r="I193" s="8" t="str">
        <x:v>https://flo.uri.sh/visualisation/15494950/embed</x:v>
      </x:c>
    </x:row>
    <x:row r="194" ht="46" customHeight="1">
      <x:c r="A194" s="7" t="n">
        <x:v>190</x:v>
      </x:c>
      <x:c r="B194" s="12" t="str">
        <x:v>Dawson Park</x:v>
      </x:c>
      <x:c r="C194" s="12" t="str">
        <x:v>Playground renovation</x:v>
      </x:c>
      <x:c r="D194" s="12" t="str">
        <x:v>Play Area A</x:v>
      </x:c>
      <x:c r="E194" s="12" t="str">
        <x:v>Renovation or repair playground that was rated as 4
 during playground assessment in 2020</x:v>
      </x:c>
      <x:c r="F194" s="21" t="n">
        <x:v>206028</x:v>
      </x:c>
      <x:c r="G194" s="7" t="str">
        <x:v>Fields / courts / play</x:v>
      </x:c>
      <x:c r="H194" s="7" t="str">
        <x:v>KGW November 2023 report; estimate dates not supplied</x:v>
      </x:c>
      <x:c r="I194" s="7" t="str">
        <x:v>https://flo.uri.sh/visualisation/15494950/embed</x:v>
      </x:c>
    </x:row>
    <x:row r="195" ht="46" customHeight="1">
      <x:c r="A195" s="8" t="n">
        <x:v>191</x:v>
      </x:c>
      <x:c r="B195" s="11" t="str">
        <x:v>Dawson Park</x:v>
      </x:c>
      <x:c r="C195" s="11" t="str">
        <x:v>ESPC-III_Buildings Lighting to LEDs</x:v>
      </x:c>
      <x:c r="D195" s="11" t="str">
        <x:v>Shelter - Restroom - Storage</x:v>
      </x:c>
      <x:c r="E195" s="11" t="str">
        <x:v>LED conversion for Exterior and Interior Lights</x:v>
      </x:c>
      <x:c r="F195" s="20" t="n">
        <x:v>11760</x:v>
      </x:c>
      <x:c r="G195" s="8" t="str">
        <x:v>Buildings / building systems</x:v>
      </x:c>
      <x:c r="H195" s="8" t="str">
        <x:v>KGW November 2023 report; estimate dates not supplied</x:v>
      </x:c>
      <x:c r="I195" s="8" t="str">
        <x:v>https://flo.uri.sh/visualisation/15494950/embed</x:v>
      </x:c>
    </x:row>
    <x:row r="196" ht="46" customHeight="1">
      <x:c r="A196" s="7" t="n">
        <x:v>192</x:v>
      </x:c>
      <x:c r="B196" s="12" t="str">
        <x:v>Dawson Park</x:v>
      </x:c>
      <x:c r="C196" s="12" t="str">
        <x:v>Repair Playground area</x:v>
      </x:c>
      <x:c r="D196" s="12" t="str">
        <x:v>Playground</x:v>
      </x:c>
      <x:c r="E196" s="12" t="str">
        <x:v>Issues:
WO329097: There are two deep cavities under the SMARTE surface on the north and south side of the swing set. It appears that the rubber mulch pillows have collapsed in a couple spots.  The one on the north side of the swing set is about 1.5 feet x 6 inches deep and the one on the south side of the swing set is about 1 foot x 4 inches deep - both are significant trip hazards. Temporary ground markings and signage should be placed in the meantime until repairs are made: Playground Mechanic repair
See attached picture: underground cavities are approximately where the pick stick and bucket is placed.
WO354634: Failed Inspection Point from WO 354384. POINT: A. Playground Surface Area
ACTION: Fake grass around tree in playground is coming loose on se corner. It needs to be reattached.</x:v>
      </x:c>
      <x:c r="F196" s="21" t="n">
        <x:v>10000</x:v>
      </x:c>
      <x:c r="G196" s="7" t="str">
        <x:v>Fields / courts / play</x:v>
      </x:c>
      <x:c r="H196" s="7" t="str">
        <x:v>KGW November 2023 report; estimate dates not supplied</x:v>
      </x:c>
      <x:c r="I196" s="7" t="str">
        <x:v>https://flo.uri.sh/visualisation/15494950/embed</x:v>
      </x:c>
    </x:row>
    <x:row r="197" ht="46" customHeight="1">
      <x:c r="A197" s="8" t="n">
        <x:v>193</x:v>
      </x:c>
      <x:c r="B197" s="11" t="str">
        <x:v>DeNorval Unthank Park</x:v>
      </x:c>
      <x:c r="C197" s="11" t="str">
        <x:v>Renovate the Roof of Restroom building</x:v>
      </x:c>
      <x:c r="D197" s="11" t="str">
        <x:v>Restroom A</x:v>
      </x:c>
      <x:c r="E197" s="11" t="str">
        <x:v>Fix or replace the Roof that is rated 4 through buildings' assessment</x:v>
      </x:c>
      <x:c r="F197" s="20" t="n">
        <x:v>64860</x:v>
      </x:c>
      <x:c r="G197" s="8" t="str">
        <x:v>Buildings / building systems</x:v>
      </x:c>
      <x:c r="H197" s="8" t="str">
        <x:v>KGW November 2023 report; estimate dates not supplied</x:v>
      </x:c>
      <x:c r="I197" s="8" t="str">
        <x:v>https://flo.uri.sh/visualisation/15494950/embed</x:v>
      </x:c>
    </x:row>
    <x:row r="198" ht="46" customHeight="1">
      <x:c r="A198" s="7" t="n">
        <x:v>194</x:v>
      </x:c>
      <x:c r="B198" s="12" t="str">
        <x:v>DeNorval Unthank Park</x:v>
      </x:c>
      <x:c r="C198" s="12" t="str">
        <x:v>Pathway Renovation</x:v>
      </x:c>
      <x:c r="D198" s="12" t="str">
        <x:v>Internal Pathway/ Sidewalk</x:v>
      </x:c>
      <x:c r="E198" s="12" t="str">
        <x:v>Replace the damaged pathway, trails and sidewalks that have been rated as 4 and 5 in Pathway assessment</x:v>
      </x:c>
      <x:c r="F198" s="21" t="n">
        <x:v>12405</x:v>
      </x:c>
      <x:c r="G198" s="7" t="str">
        <x:v>Paths / access / bridges</x:v>
      </x:c>
      <x:c r="H198" s="7" t="str">
        <x:v>KGW November 2023 report; estimate dates not supplied</x:v>
      </x:c>
      <x:c r="I198" s="7" t="str">
        <x:v>https://flo.uri.sh/visualisation/15494950/embed</x:v>
      </x:c>
    </x:row>
    <x:row r="199" ht="46" customHeight="1">
      <x:c r="A199" s="8" t="n">
        <x:v>195</x:v>
      </x:c>
      <x:c r="B199" s="11" t="str">
        <x:v>DeNorval Unthank Park</x:v>
      </x:c>
      <x:c r="C199" s="11" t="str">
        <x:v>ESPC-III_Buildings Lighting to LEDs</x:v>
      </x:c>
      <x:c r="D199" s="11" t="str">
        <x:v>Restroom</x:v>
      </x:c>
      <x:c r="E199" s="11" t="str">
        <x:v>LED conversion for Exterior and Interior Lights</x:v>
      </x:c>
      <x:c r="F199" s="20" t="n">
        <x:v>11760</x:v>
      </x:c>
      <x:c r="G199" s="8" t="str">
        <x:v>Buildings / building systems</x:v>
      </x:c>
      <x:c r="H199" s="8" t="str">
        <x:v>KGW November 2023 report; estimate dates not supplied</x:v>
      </x:c>
      <x:c r="I199" s="8" t="str">
        <x:v>https://flo.uri.sh/visualisation/15494950/embed</x:v>
      </x:c>
    </x:row>
    <x:row r="200" ht="46" customHeight="1">
      <x:c r="A200" s="7" t="n">
        <x:v>196</x:v>
      </x:c>
      <x:c r="B200" s="12" t="str">
        <x:v>DeNorval Unthank Park</x:v>
      </x:c>
      <x:c r="C200" s="12" t="str">
        <x:v>Renovate sport field</x:v>
      </x:c>
      <x:c r="D200" s="12" t="str">
        <x:v>Ball Field 1</x:v>
      </x:c>
      <x:c r="E200" s="12" t="str">
        <x:v>Sport fields rated 4 or 5 in condition assessment</x:v>
      </x:c>
      <x:c r="F200" s="21" t="n">
        <x:v>1025540</x:v>
      </x:c>
      <x:c r="G200" s="7" t="str">
        <x:v>Fields / courts / play</x:v>
      </x:c>
      <x:c r="H200" s="7" t="str">
        <x:v>KGW November 2023 report; estimate dates not supplied</x:v>
      </x:c>
      <x:c r="I200" s="7" t="str">
        <x:v>https://flo.uri.sh/visualisation/15494950/embed</x:v>
      </x:c>
    </x:row>
    <x:row r="201" ht="46" customHeight="1">
      <x:c r="A201" s="8" t="n">
        <x:v>197</x:v>
      </x:c>
      <x:c r="B201" s="11" t="str">
        <x:v>DeWitt Park</x:v>
      </x:c>
      <x:c r="C201" s="11" t="str">
        <x:v>Play Area Safety and ADA</x:v>
      </x:c>
      <x:c r="D201" s="11" t="str">
        <x:v>DeWitt Park</x:v>
      </x:c>
      <x:c r="E201" s="11" t="str">
        <x:v>Removal and replacement of existing Wildwood play structures.  Wildwood play equipment is no longer manufactured.  Structures have outlived their useful life.  Add small free play area, per Technical Paper.</x:v>
      </x:c>
      <x:c r="F201" s="20" t="n">
        <x:v>207769</x:v>
      </x:c>
      <x:c r="G201" s="8" t="str">
        <x:v>Paths / access / bridges</x:v>
      </x:c>
      <x:c r="H201" s="8" t="str">
        <x:v>KGW November 2023 report; estimate dates not supplied</x:v>
      </x:c>
      <x:c r="I201" s="8" t="str">
        <x:v>https://flo.uri.sh/visualisation/15494950/embed</x:v>
      </x:c>
    </x:row>
    <x:row r="202" ht="46" customHeight="1">
      <x:c r="A202" s="7" t="n">
        <x:v>198</x:v>
      </x:c>
      <x:c r="B202" s="12" t="str">
        <x:v>DeWitt Park</x:v>
      </x:c>
      <x:c r="C202" s="12" t="str">
        <x:v>Playground renovation</x:v>
      </x:c>
      <x:c r="D202" s="12" t="str">
        <x:v>Play Area A</x:v>
      </x:c>
      <x:c r="E202" s="12" t="str">
        <x:v>Renovation or repair playground that was rated as 4
 during playground assessment in 2020</x:v>
      </x:c>
      <x:c r="F202" s="21" t="n">
        <x:v>127912</x:v>
      </x:c>
      <x:c r="G202" s="7" t="str">
        <x:v>Fields / courts / play</x:v>
      </x:c>
      <x:c r="H202" s="7" t="str">
        <x:v>KGW November 2023 report; estimate dates not supplied</x:v>
      </x:c>
      <x:c r="I202" s="7" t="str">
        <x:v>https://flo.uri.sh/visualisation/15494950/embed</x:v>
      </x:c>
    </x:row>
    <x:row r="203" ht="46" customHeight="1">
      <x:c r="A203" s="8" t="n">
        <x:v>199</x:v>
      </x:c>
      <x:c r="B203" s="11" t="str">
        <x:v>Dickinson Park</x:v>
      </x:c>
      <x:c r="C203" s="11" t="str">
        <x:v>Ecological Restoration_ Dickinson Park</x:v>
      </x:c>
      <x:c r="D203" s="11" t="str"/>
      <x:c r="E203" s="11" t="str">
        <x:v>Placholder for Ecological health restoration
Part of (Ash Creek Natural Area &amp; Dickinson Woods) project</x:v>
      </x:c>
      <x:c r="F203" s="20" t="n">
        <x:v>73503</x:v>
      </x:c>
      <x:c r="G203" s="8" t="str">
        <x:v>Other site infrastructure</x:v>
      </x:c>
      <x:c r="H203" s="8" t="str">
        <x:v>KGW November 2023 report; estimate dates not supplied</x:v>
      </x:c>
      <x:c r="I203" s="8" t="str">
        <x:v>https://flo.uri.sh/visualisation/15494950/embed</x:v>
      </x:c>
    </x:row>
    <x:row r="204" ht="46" customHeight="1">
      <x:c r="A204" s="7" t="n">
        <x:v>200</x:v>
      </x:c>
      <x:c r="B204" s="12" t="str">
        <x:v>Dickinson Park</x:v>
      </x:c>
      <x:c r="C204" s="12" t="str">
        <x:v>Pathway Renovation</x:v>
      </x:c>
      <x:c r="D204" s="12" t="str">
        <x:v>Internal Pathway/ Sidewalk</x:v>
      </x:c>
      <x:c r="E204" s="12" t="str">
        <x:v>Replace the damaged pathway, trails and sidewalks that have been rated as 4 and 5 in Pathway assessment</x:v>
      </x:c>
      <x:c r="F204" s="21" t="n">
        <x:v>14746</x:v>
      </x:c>
      <x:c r="G204" s="7" t="str">
        <x:v>Paths / access / bridges</x:v>
      </x:c>
      <x:c r="H204" s="7" t="str">
        <x:v>KGW November 2023 report; estimate dates not supplied</x:v>
      </x:c>
      <x:c r="I204" s="7" t="str">
        <x:v>https://flo.uri.sh/visualisation/15494950/embed</x:v>
      </x:c>
    </x:row>
    <x:row r="205" ht="46" customHeight="1">
      <x:c r="A205" s="8" t="n">
        <x:v>201</x:v>
      </x:c>
      <x:c r="B205" s="11" t="str">
        <x:v>Downtown Service Zone - Work Unit</x:v>
      </x:c>
      <x:c r="C205" s="11" t="str">
        <x:v>Repair the stair handrail</x:v>
      </x:c>
      <x:c r="D205" s="11" t="str">
        <x:v>Downtown Service Zone - Work Unit</x:v>
      </x:c>
      <x:c r="E205" s="11" t="str">
        <x:v>"Hand rail has a section of it (approx. 10-15') laying on the ground in the ivy that needs to be reattached to the rail and there is a bicycle rack that needs to be bolted down. needed work:
- Complete missing handrail segment
- Complete missing parts of exsisting handrail
- Bolt down the bicycle rack"</x:v>
      </x:c>
      <x:c r="F205" s="20" t="n">
        <x:v>11993</x:v>
      </x:c>
      <x:c r="G205" s="8" t="str">
        <x:v>Paths / access / bridges</x:v>
      </x:c>
      <x:c r="H205" s="8" t="str">
        <x:v>KGW November 2023 report; estimate dates not supplied</x:v>
      </x:c>
      <x:c r="I205" s="8" t="str">
        <x:v>https://flo.uri.sh/visualisation/15494950/embed</x:v>
      </x:c>
    </x:row>
    <x:row r="206" ht="46" customHeight="1">
      <x:c r="A206" s="7" t="n">
        <x:v>202</x:v>
      </x:c>
      <x:c r="B206" s="12" t="str">
        <x:v>Dr Martin Luther King Jr School Park</x:v>
      </x:c>
      <x:c r="C206" s="12" t="str">
        <x:v>Renovate retaining wall</x:v>
      </x:c>
      <x:c r="D206" s="12" t="str">
        <x:v>Retaining wall</x:v>
      </x:c>
      <x:c r="E206" s="12" t="str">
        <x:v>investigate and repair or replace retaining walls</x:v>
      </x:c>
      <x:c r="F206" s="21" t="n">
        <x:v>85000</x:v>
      </x:c>
      <x:c r="G206" s="7" t="str">
        <x:v>Other site infrastructure</x:v>
      </x:c>
      <x:c r="H206" s="7" t="str">
        <x:v>KGW November 2023 report; estimate dates not supplied</x:v>
      </x:c>
      <x:c r="I206" s="7" t="str">
        <x:v>https://flo.uri.sh/visualisation/15494950/embed</x:v>
      </x:c>
    </x:row>
    <x:row r="207" ht="46" customHeight="1">
      <x:c r="A207" s="8" t="n">
        <x:v>203</x:v>
      </x:c>
      <x:c r="B207" s="11" t="str">
        <x:v>Dr Martin Luther King Jr School Park</x:v>
      </x:c>
      <x:c r="C207" s="11" t="str">
        <x:v>Replace sport field surface</x:v>
      </x:c>
      <x:c r="D207" s="11" t="str">
        <x:v>Futsol court</x:v>
      </x:c>
      <x:c r="E207" s="11" t="str">
        <x:v>Recurrence project to replace sport field surface every 10 years</x:v>
      </x:c>
      <x:c r="F207" s="20" t="n">
        <x:v>500000</x:v>
      </x:c>
      <x:c r="G207" s="8" t="str">
        <x:v>Fields / courts / play</x:v>
      </x:c>
      <x:c r="H207" s="8" t="str">
        <x:v>KGW November 2023 report; estimate dates not supplied</x:v>
      </x:c>
      <x:c r="I207" s="8" t="str">
        <x:v>https://flo.uri.sh/visualisation/15494950/embed</x:v>
      </x:c>
    </x:row>
    <x:row r="208" ht="46" customHeight="1">
      <x:c r="A208" s="7" t="n">
        <x:v>204</x:v>
      </x:c>
      <x:c r="B208" s="12" t="str">
        <x:v>Dr Martin Luther King Jr School Park</x:v>
      </x:c>
      <x:c r="C208" s="12" t="str">
        <x:v>ESPC-III_Pathway Lighting to LEDs</x:v>
      </x:c>
      <x:c r="D208" s="12" t="str"/>
      <x:c r="E208" s="12" t="str">
        <x:v>Pathway Lighting Conversion to LEDs and Controls. Aprox: 8 Poles</x:v>
      </x:c>
      <x:c r="F208" s="21" t="n">
        <x:v>28225</x:v>
      </x:c>
      <x:c r="G208" s="7" t="str">
        <x:v>Paths / access / bridges</x:v>
      </x:c>
      <x:c r="H208" s="7" t="str">
        <x:v>KGW November 2023 report; estimate dates not supplied</x:v>
      </x:c>
      <x:c r="I208" s="7" t="str">
        <x:v>https://flo.uri.sh/visualisation/15494950/embed</x:v>
      </x:c>
    </x:row>
    <x:row r="209" ht="46" customHeight="1">
      <x:c r="A209" s="8" t="n">
        <x:v>205</x:v>
      </x:c>
      <x:c r="B209" s="11" t="str">
        <x:v>Dr Martin Luther King Jr School Park</x:v>
      </x:c>
      <x:c r="C209" s="11" t="str">
        <x:v>Pathway Renovation</x:v>
      </x:c>
      <x:c r="D209" s="11" t="str">
        <x:v>Internal Pathway/ Sidewalk</x:v>
      </x:c>
      <x:c r="E209" s="11" t="str">
        <x:v>Replace the damaged pathway, trails and sidewalks that have been rated as 4 and 5 in Pathway assessment</x:v>
      </x:c>
      <x:c r="F209" s="20" t="n">
        <x:v>20822</x:v>
      </x:c>
      <x:c r="G209" s="8" t="str">
        <x:v>Paths / access / bridges</x:v>
      </x:c>
      <x:c r="H209" s="8" t="str">
        <x:v>KGW November 2023 report; estimate dates not supplied</x:v>
      </x:c>
      <x:c r="I209" s="8" t="str">
        <x:v>https://flo.uri.sh/visualisation/15494950/embed</x:v>
      </x:c>
    </x:row>
    <x:row r="210" ht="46" customHeight="1">
      <x:c r="A210" s="7" t="n">
        <x:v>206</x:v>
      </x:c>
      <x:c r="B210" s="12" t="str">
        <x:v>Duniway Park</x:v>
      </x:c>
      <x:c r="C210" s="12" t="str">
        <x:v>Restroom renovation</x:v>
      </x:c>
      <x:c r="D210" s="12" t="str">
        <x:v>Duniway Park</x:v>
      </x:c>
      <x:c r="E210" s="12" t="str">
        <x:v>Renovate restroom on Sheridan street.  Replaces CIP 1954, projects were split out.</x:v>
      </x:c>
      <x:c r="F210" s="21" t="n">
        <x:v>65263</x:v>
      </x:c>
      <x:c r="G210" s="7" t="str">
        <x:v>Other site infrastructure</x:v>
      </x:c>
      <x:c r="H210" s="7" t="str">
        <x:v>KGW November 2023 report; estimate dates not supplied</x:v>
      </x:c>
      <x:c r="I210" s="7" t="str">
        <x:v>https://flo.uri.sh/visualisation/15494950/embed</x:v>
      </x:c>
    </x:row>
    <x:row r="211" ht="46" customHeight="1">
      <x:c r="A211" s="8" t="n">
        <x:v>207</x:v>
      </x:c>
      <x:c r="B211" s="11" t="str">
        <x:v>Duniway Park</x:v>
      </x:c>
      <x:c r="C211" s="11" t="str">
        <x:v>Renovate parking lot_Parking Area B</x:v>
      </x:c>
      <x:c r="D211" s="11" t="str">
        <x:v>Parking Area B</x:v>
      </x:c>
      <x:c r="E211" s="11" t="str">
        <x:v>Repair parking lot that was rated 4 in condition assessment. Repair include surface, drainage and curb. approx area= 3309 sq.ft</x:v>
      </x:c>
      <x:c r="F211" s="20" t="n">
        <x:v>54108</x:v>
      </x:c>
      <x:c r="G211" s="8" t="str">
        <x:v>Utilities / lighting / drainage</x:v>
      </x:c>
      <x:c r="H211" s="8" t="str">
        <x:v>KGW November 2023 report; estimate dates not supplied</x:v>
      </x:c>
      <x:c r="I211" s="8" t="str">
        <x:v>https://flo.uri.sh/visualisation/15494950/embed</x:v>
      </x:c>
    </x:row>
    <x:row r="212" ht="46" customHeight="1">
      <x:c r="A212" s="7" t="n">
        <x:v>208</x:v>
      </x:c>
      <x:c r="B212" s="12" t="str">
        <x:v>Duniway Park</x:v>
      </x:c>
      <x:c r="C212" s="12" t="str">
        <x:v>Ecological Restoration_ Duniway Park</x:v>
      </x:c>
      <x:c r="D212" s="12" t="str"/>
      <x:c r="E212" s="12" t="str">
        <x:v>Placholder for Ecological health restoration
Part of (Terwilliger Parkway including George Himes and Duniway) project</x:v>
      </x:c>
      <x:c r="F212" s="21" t="n">
        <x:v>49041</x:v>
      </x:c>
      <x:c r="G212" s="7" t="str">
        <x:v>Other site infrastructure</x:v>
      </x:c>
      <x:c r="H212" s="7" t="str">
        <x:v>KGW November 2023 report; estimate dates not supplied</x:v>
      </x:c>
      <x:c r="I212" s="7" t="str">
        <x:v>https://flo.uri.sh/visualisation/15494950/embed</x:v>
      </x:c>
    </x:row>
    <x:row r="213" ht="46" customHeight="1">
      <x:c r="A213" s="8" t="n">
        <x:v>209</x:v>
      </x:c>
      <x:c r="B213" s="11" t="str">
        <x:v>Duniway Park</x:v>
      </x:c>
      <x:c r="C213" s="11" t="str">
        <x:v>Irrigation Replacement</x:v>
      </x:c>
      <x:c r="D213" s="11" t="str">
        <x:v>Duniway Park</x:v>
      </x:c>
      <x:c r="E213" s="11" t="str">
        <x:v>Replace irrigation system in upper park area.  Current irrigation system is past its useful life and has been failing frequently, requiring manual operations.</x:v>
      </x:c>
      <x:c r="F213" s="20" t="n">
        <x:v>227383</x:v>
      </x:c>
      <x:c r="G213" s="8" t="str">
        <x:v>Utilities / lighting / drainage</x:v>
      </x:c>
      <x:c r="H213" s="8" t="str">
        <x:v>KGW November 2023 report; estimate dates not supplied</x:v>
      </x:c>
      <x:c r="I213" s="8" t="str">
        <x:v>https://flo.uri.sh/visualisation/15494950/embed</x:v>
      </x:c>
    </x:row>
    <x:row r="214" ht="46" customHeight="1">
      <x:c r="A214" s="7" t="n">
        <x:v>210</x:v>
      </x:c>
      <x:c r="B214" s="12" t="str">
        <x:v>Duniway Park</x:v>
      </x:c>
      <x:c r="C214" s="12" t="str">
        <x:v>Replace handrail</x:v>
      </x:c>
      <x:c r="D214" s="12" t="str"/>
      <x:c r="E214" s="12" t="str">
        <x:v>Repair or replace the full length of the guard rail along the top of the retaining wall at the North end of the track. This is the location someone drove off the road a year or two ago. Section of temp fence and hand rail now on running track</x:v>
      </x:c>
      <x:c r="F214" s="21" t="n">
        <x:v>21869</x:v>
      </x:c>
      <x:c r="G214" s="7" t="str">
        <x:v>Other site infrastructure</x:v>
      </x:c>
      <x:c r="H214" s="7" t="str">
        <x:v>KGW November 2023 report; estimate dates not supplied</x:v>
      </x:c>
      <x:c r="I214" s="7" t="str">
        <x:v>https://flo.uri.sh/visualisation/15494950/embed</x:v>
      </x:c>
    </x:row>
    <x:row r="215" ht="46" customHeight="1">
      <x:c r="A215" s="8" t="n">
        <x:v>211</x:v>
      </x:c>
      <x:c r="B215" s="11" t="str">
        <x:v>Duniway Park</x:v>
      </x:c>
      <x:c r="C215" s="11" t="str">
        <x:v>Pathway Renovation</x:v>
      </x:c>
      <x:c r="D215" s="11" t="str">
        <x:v>Duniway Park</x:v>
      </x:c>
      <x:c r="E215" s="11" t="str">
        <x:v>Replace the damaged pathway, trails and sidewalks that have been rated as 4 and 5 in Pathway assessment</x:v>
      </x:c>
      <x:c r="F215" s="20" t="n">
        <x:v>170589</x:v>
      </x:c>
      <x:c r="G215" s="8" t="str">
        <x:v>Paths / access / bridges</x:v>
      </x:c>
      <x:c r="H215" s="8" t="str">
        <x:v>KGW November 2023 report; estimate dates not supplied</x:v>
      </x:c>
      <x:c r="I215" s="8" t="str">
        <x:v>https://flo.uri.sh/visualisation/15494950/embed</x:v>
      </x:c>
    </x:row>
    <x:row r="216" ht="46" customHeight="1">
      <x:c r="A216" s="7" t="n">
        <x:v>212</x:v>
      </x:c>
      <x:c r="B216" s="12" t="str">
        <x:v>Duniway Park</x:v>
      </x:c>
      <x:c r="C216" s="12" t="str">
        <x:v>ESPC-III_Buildings Lighting to LEDs</x:v>
      </x:c>
      <x:c r="D216" s="12" t="str">
        <x:v>Restroom - Storage</x:v>
      </x:c>
      <x:c r="E216" s="12" t="str">
        <x:v>LED conversion for Exterior and Interior Lights</x:v>
      </x:c>
      <x:c r="F216" s="21" t="n">
        <x:v>11760</x:v>
      </x:c>
      <x:c r="G216" s="7" t="str">
        <x:v>Buildings / building systems</x:v>
      </x:c>
      <x:c r="H216" s="7" t="str">
        <x:v>KGW November 2023 report; estimate dates not supplied</x:v>
      </x:c>
      <x:c r="I216" s="7" t="str">
        <x:v>https://flo.uri.sh/visualisation/15494950/embed</x:v>
      </x:c>
    </x:row>
    <x:row r="217" ht="46" customHeight="1">
      <x:c r="A217" s="8" t="n">
        <x:v>213</x:v>
      </x:c>
      <x:c r="B217" s="11" t="str">
        <x:v>Duniway Park</x:v>
      </x:c>
      <x:c r="C217" s="11" t="str">
        <x:v>Replace sport field surface</x:v>
      </x:c>
      <x:c r="D217" s="11" t="str">
        <x:v>sport field</x:v>
      </x:c>
      <x:c r="E217" s="11" t="str">
        <x:v>Recurrence project to replace sport field turf every 10 years</x:v>
      </x:c>
      <x:c r="F217" s="20" t="n">
        <x:v>1500000</x:v>
      </x:c>
      <x:c r="G217" s="8" t="str">
        <x:v>Fields / courts / play</x:v>
      </x:c>
      <x:c r="H217" s="8" t="str">
        <x:v>KGW November 2023 report; estimate dates not supplied</x:v>
      </x:c>
      <x:c r="I217" s="8" t="str">
        <x:v>https://flo.uri.sh/visualisation/15494950/embed</x:v>
      </x:c>
    </x:row>
    <x:row r="218" ht="46" customHeight="1">
      <x:c r="A218" s="7" t="n">
        <x:v>214</x:v>
      </x:c>
      <x:c r="B218" s="12" t="str">
        <x:v>Earl Boyles Park</x:v>
      </x:c>
      <x:c r="C218" s="12" t="str">
        <x:v>ESPC-III_Pathway Lighting to LEDs</x:v>
      </x:c>
      <x:c r="D218" s="12" t="str"/>
      <x:c r="E218" s="12" t="str">
        <x:v>Pathway Lighting Conversion to LEDs and Controls. Aprox: 20 Poles</x:v>
      </x:c>
      <x:c r="F218" s="21" t="n">
        <x:v>70563</x:v>
      </x:c>
      <x:c r="G218" s="7" t="str">
        <x:v>Paths / access / bridges</x:v>
      </x:c>
      <x:c r="H218" s="7" t="str">
        <x:v>KGW November 2023 report; estimate dates not supplied</x:v>
      </x:c>
      <x:c r="I218" s="7" t="str">
        <x:v>https://flo.uri.sh/visualisation/15494950/embed</x:v>
      </x:c>
    </x:row>
    <x:row r="219" ht="46" customHeight="1">
      <x:c r="A219" s="8" t="n">
        <x:v>215</x:v>
      </x:c>
      <x:c r="B219" s="11" t="str">
        <x:v>East Delta Park</x:v>
      </x:c>
      <x:c r="C219" s="11" t="str">
        <x:v>ESPC-II_ East Delta Park</x:v>
      </x:c>
      <x:c r="D219" s="11" t="str"/>
      <x:c r="E219" s="11" t="str">
        <x:v>Install a GE control node on each pole that controls the light fixtures on that pole.  Qty of 4 poles.. FIM Name: 09.12-0034 Soccer Field Lighting Controls</x:v>
      </x:c>
      <x:c r="F219" s="20" t="n">
        <x:v>9899</x:v>
      </x:c>
      <x:c r="G219" s="8" t="str">
        <x:v>Fields / courts / play</x:v>
      </x:c>
      <x:c r="H219" s="8" t="str">
        <x:v>KGW November 2023 report; estimate dates not supplied</x:v>
      </x:c>
      <x:c r="I219" s="8" t="str">
        <x:v>https://flo.uri.sh/visualisation/15494950/embed</x:v>
      </x:c>
    </x:row>
    <x:row r="220" ht="46" customHeight="1">
      <x:c r="A220" s="7" t="n">
        <x:v>216</x:v>
      </x:c>
      <x:c r="B220" s="12" t="str">
        <x:v>East Delta Park</x:v>
      </x:c>
      <x:c r="C220" s="12" t="str">
        <x:v>Playground renovation</x:v>
      </x:c>
      <x:c r="D220" s="12" t="str">
        <x:v>Play Area A</x:v>
      </x:c>
      <x:c r="E220" s="12" t="str">
        <x:v>Renovation or repair playground that was rated as 4
 during playground assessment in 2020</x:v>
      </x:c>
      <x:c r="F220" s="21" t="n">
        <x:v>78302</x:v>
      </x:c>
      <x:c r="G220" s="7" t="str">
        <x:v>Fields / courts / play</x:v>
      </x:c>
      <x:c r="H220" s="7" t="str">
        <x:v>KGW November 2023 report; estimate dates not supplied</x:v>
      </x:c>
      <x:c r="I220" s="7" t="str">
        <x:v>https://flo.uri.sh/visualisation/15494950/embed</x:v>
      </x:c>
    </x:row>
    <x:row r="221" ht="46" customHeight="1">
      <x:c r="A221" s="8" t="n">
        <x:v>217</x:v>
      </x:c>
      <x:c r="B221" s="11" t="str">
        <x:v>East Delta Park</x:v>
      </x:c>
      <x:c r="C221" s="11" t="str">
        <x:v>ESPC-II_ East Delta Park</x:v>
      </x:c>
      <x:c r="D221" s="11" t="str"/>
      <x:c r="E221" s="11" t="str">
        <x:v>Convert existing lighting to LED technology via a re-lamp approach.. FIM Name: 09.07-0034 Building Exterior Lighting LED Conversion</x:v>
      </x:c>
      <x:c r="F221" s="20" t="n">
        <x:v>7890</x:v>
      </x:c>
      <x:c r="G221" s="8" t="str">
        <x:v>Buildings / building systems</x:v>
      </x:c>
      <x:c r="H221" s="8" t="str">
        <x:v>KGW November 2023 report; estimate dates not supplied</x:v>
      </x:c>
      <x:c r="I221" s="8" t="str">
        <x:v>https://flo.uri.sh/visualisation/15494950/embed</x:v>
      </x:c>
    </x:row>
    <x:row r="222" ht="46" customHeight="1">
      <x:c r="A222" s="7" t="n">
        <x:v>218</x:v>
      </x:c>
      <x:c r="B222" s="12" t="str">
        <x:v>East Delta Park</x:v>
      </x:c>
      <x:c r="C222" s="12" t="str">
        <x:v>ESPC-II_ East Delta Park</x:v>
      </x:c>
      <x:c r="D222" s="12" t="str"/>
      <x:c r="E222" s="12" t="str">
        <x:v>East Delta Park - Retro commission all irrigation sprinkler systems and heads to ensure proper thrown and timing. Replace 10% of all rotary and spray heads.. FIM Name: 18.10-0034 Irrigation System Improvements</x:v>
      </x:c>
      <x:c r="F222" s="21" t="n">
        <x:v>68821</x:v>
      </x:c>
      <x:c r="G222" s="7" t="str">
        <x:v>Utilities / lighting / drainage</x:v>
      </x:c>
      <x:c r="H222" s="7" t="str">
        <x:v>KGW November 2023 report; estimate dates not supplied</x:v>
      </x:c>
      <x:c r="I222" s="7" t="str">
        <x:v>https://flo.uri.sh/visualisation/15494950/embed</x:v>
      </x:c>
    </x:row>
    <x:row r="223" ht="46" customHeight="1">
      <x:c r="A223" s="8" t="n">
        <x:v>219</x:v>
      </x:c>
      <x:c r="B223" s="11" t="str">
        <x:v>East Delta Park</x:v>
      </x:c>
      <x:c r="C223" s="11" t="str">
        <x:v>ESPC-II_ East Delta Park</x:v>
      </x:c>
      <x:c r="D223" s="11" t="str"/>
      <x:c r="E223" s="11" t="str">
        <x:v>Replace existing HPS Field Lighting with LED Fixtures.  Existing Poles to remain.. FIM Name: 09.01-0034 Baseball Field Lighting LED Conversion</x:v>
      </x:c>
      <x:c r="F223" s="20" t="n">
        <x:v>675161</x:v>
      </x:c>
      <x:c r="G223" s="8" t="str">
        <x:v>Fields / courts / play</x:v>
      </x:c>
      <x:c r="H223" s="8" t="str">
        <x:v>KGW November 2023 report; estimate dates not supplied</x:v>
      </x:c>
      <x:c r="I223" s="8" t="str">
        <x:v>https://flo.uri.sh/visualisation/15494950/embed</x:v>
      </x:c>
    </x:row>
    <x:row r="224" ht="46" customHeight="1">
      <x:c r="A224" s="7" t="n">
        <x:v>220</x:v>
      </x:c>
      <x:c r="B224" s="12" t="str">
        <x:v>East Delta Park</x:v>
      </x:c>
      <x:c r="C224" s="12" t="str">
        <x:v>Workspace- Interior building renovation</x:v>
      </x:c>
      <x:c r="D224" s="12" t="str">
        <x:v>North District Headquarters, ID-70</x:v>
      </x:c>
      <x:c r="E224" s="12" t="str">
        <x:v>Project components as below:
Improvement Type: Building, Category: Operations, Subcategory: NA, Description: Implement staggered shifts, Invest#: 70.07
Improvement Type: Building, Category: Health &amp; Safety, Subcategory: Haz Mat Storage, Description: Provide ventilated Haz Mat storage and Safety Shower, Invest#: 70.04
Improvement Type: Building, Category: Health &amp; Safety, Subcategory: Envelope Repair, Description: Repair roof and ceiling insulation, Invest#: 70.05
Improvement Type: Building, Category: MEP, Subcategory: Plumbing - Repair, Description: Repair showers?, Invest#: 70.06
Improvement Type: Building, Category: Envelope, Subcategory: NA, Description: Repair transluscent panels, Invest#: 70.08
Improvement Type: Building, Category: Interior, Subcategory: Furnishings, Description: Improve workspace configuration, Invest#: 70.03</x:v>
      </x:c>
      <x:c r="F224" s="21" t="n">
        <x:v>60000</x:v>
      </x:c>
      <x:c r="G224" s="7" t="str">
        <x:v>Buildings / building systems</x:v>
      </x:c>
      <x:c r="H224" s="7" t="str">
        <x:v>KGW November 2023 report; estimate dates not supplied</x:v>
      </x:c>
      <x:c r="I224" s="7" t="str">
        <x:v>https://flo.uri.sh/visualisation/15494950/embed</x:v>
      </x:c>
    </x:row>
    <x:row r="225" ht="46" customHeight="1">
      <x:c r="A225" s="8" t="n">
        <x:v>221</x:v>
      </x:c>
      <x:c r="B225" s="11" t="str">
        <x:v>East Delta Park</x:v>
      </x:c>
      <x:c r="C225" s="11" t="str">
        <x:v>ESPC-II_ East Delta Park - Owens Sports Complex</x:v>
      </x:c>
      <x:c r="D225" s="11" t="str"/>
      <x:c r="E225" s="11" t="str">
        <x:v>Install a GE control node on each pathway light fixture.  Node for parks with &lt;50 fixtures will be model #ELWM18BXXXXAD.  Node for parks with &gt;50 fixtures will be model #ELWN08BXXXXAD.. FIM Name: 09.17-1123 Building Exterior Lighting Controls</x:v>
      </x:c>
      <x:c r="F225" s="20" t="n">
        <x:v>6592</x:v>
      </x:c>
      <x:c r="G225" s="8" t="str">
        <x:v>Buildings / building systems</x:v>
      </x:c>
      <x:c r="H225" s="8" t="str">
        <x:v>KGW November 2023 report; estimate dates not supplied</x:v>
      </x:c>
      <x:c r="I225" s="8" t="str">
        <x:v>https://flo.uri.sh/visualisation/15494950/embed</x:v>
      </x:c>
    </x:row>
    <x:row r="226" ht="46" customHeight="1">
      <x:c r="A226" s="7" t="n">
        <x:v>222</x:v>
      </x:c>
      <x:c r="B226" s="12" t="str">
        <x:v>East Delta Park</x:v>
      </x:c>
      <x:c r="C226" s="12" t="str">
        <x:v>Replace sport field surface</x:v>
      </x:c>
      <x:c r="D226" s="12" t="str">
        <x:v>sport field</x:v>
      </x:c>
      <x:c r="E226" s="12" t="str">
        <x:v>Recurrence project to replace sport field turf every 10 years</x:v>
      </x:c>
      <x:c r="F226" s="21" t="n">
        <x:v>6000000</x:v>
      </x:c>
      <x:c r="G226" s="7" t="str">
        <x:v>Fields / courts / play</x:v>
      </x:c>
      <x:c r="H226" s="7" t="str">
        <x:v>KGW November 2023 report; estimate dates not supplied</x:v>
      </x:c>
      <x:c r="I226" s="7" t="str">
        <x:v>https://flo.uri.sh/visualisation/15494950/embed</x:v>
      </x:c>
    </x:row>
    <x:row r="227" ht="46" customHeight="1">
      <x:c r="A227" s="8" t="n">
        <x:v>223</x:v>
      </x:c>
      <x:c r="B227" s="11" t="str">
        <x:v>East Delta Park</x:v>
      </x:c>
      <x:c r="C227" s="11" t="str">
        <x:v>Renovate North District HQ roof</x:v>
      </x:c>
      <x:c r="D227" s="11" t="str">
        <x:v>East Delta Park</x:v>
      </x:c>
      <x:c r="E227" s="11" t="str">
        <x:v>- The roof is in end of life cycle
- This project derived from Building assessment</x:v>
      </x:c>
      <x:c r="F227" s="20" t="n">
        <x:v>58802</x:v>
      </x:c>
      <x:c r="G227" s="8" t="str">
        <x:v>Buildings / building systems</x:v>
      </x:c>
      <x:c r="H227" s="8" t="str">
        <x:v>KGW November 2023 report; estimate dates not supplied</x:v>
      </x:c>
      <x:c r="I227" s="8" t="str">
        <x:v>https://flo.uri.sh/visualisation/15494950/embed</x:v>
      </x:c>
    </x:row>
    <x:row r="228" ht="46" customHeight="1">
      <x:c r="A228" s="7" t="n">
        <x:v>224</x:v>
      </x:c>
      <x:c r="B228" s="12" t="str">
        <x:v>East Delta Park</x:v>
      </x:c>
      <x:c r="C228" s="12" t="str">
        <x:v>Workspace- Interior building renovation</x:v>
      </x:c>
      <x:c r="D228" s="12" t="str">
        <x:v>Urban Forestry Office, ID-71</x:v>
      </x:c>
      <x:c r="E228" s="12" t="str">
        <x:v>Project components as below:
Improvement Type: Building, Category: Interior, Subcategory: Furnishings, Description: Provide lockers?, Invest#: 71.04
Improvement Type: Building, Category: Interior, Subcategory: Furnishings, Description: Reconfigure workspaces, Invest#: 71.03
Improvement Type: Building, Category: Health &amp; Safety, Subcategory: Envelope Repair, Description: Repair Roof and ceiling, Invest#: 71.05
Improvement Type: Building, Category: Wellness, Subcategory: Wellness room, Description: Wellness/Lactation Room, Invest#: 71.01</x:v>
      </x:c>
      <x:c r="F228" s="21" t="n">
        <x:v>40000</x:v>
      </x:c>
      <x:c r="G228" s="7" t="str">
        <x:v>Buildings / building systems</x:v>
      </x:c>
      <x:c r="H228" s="7" t="str">
        <x:v>KGW November 2023 report; estimate dates not supplied</x:v>
      </x:c>
      <x:c r="I228" s="7" t="str">
        <x:v>https://flo.uri.sh/visualisation/15494950/embed</x:v>
      </x:c>
    </x:row>
    <x:row r="229" ht="46" customHeight="1">
      <x:c r="A229" s="8" t="n">
        <x:v>225</x:v>
      </x:c>
      <x:c r="B229" s="11" t="str">
        <x:v>East Delta Park</x:v>
      </x:c>
      <x:c r="C229" s="11" t="str">
        <x:v>Workspace- Parking area configuration</x:v>
      </x:c>
      <x:c r="D229" s="11" t="str">
        <x:v>Parking lots</x:v>
      </x:c>
      <x:c r="E229" s="11" t="str">
        <x:v>Project components:
Improvement Type: Parking, Category: Site Configuration, Subcategory: Parking - Bike, Description: Bike Parking (OK to Share with Visitors), Invest#: 34.09
Improvement Type: Parking, Category: Site Configuration, Subcategory: Parking , Description: Fleet Parking Allocation on Site , Invest#: 34.07
Improvement Type: Parking, Category: Site Configuration, Subcategory: Parking, Description: FTE Parking Allocation on Site , Invest#: 34.08
Improvement Type: Parking, Category: Site Configuration, Subcategory: Parking - Negotiate, Description: Negotiate Additional Parking, Invest#: 34.1</x:v>
      </x:c>
      <x:c r="F229" s="20" t="n">
        <x:v>40000</x:v>
      </x:c>
      <x:c r="G229" s="8" t="str">
        <x:v>Buildings / building systems</x:v>
      </x:c>
      <x:c r="H229" s="8" t="str">
        <x:v>KGW November 2023 report; estimate dates not supplied</x:v>
      </x:c>
      <x:c r="I229" s="8" t="str">
        <x:v>https://flo.uri.sh/visualisation/15494950/embed</x:v>
      </x:c>
    </x:row>
    <x:row r="230" ht="46" customHeight="1">
      <x:c r="A230" s="7" t="n">
        <x:v>226</x:v>
      </x:c>
      <x:c r="B230" s="12" t="str">
        <x:v>East Delta Park</x:v>
      </x:c>
      <x:c r="C230" s="12" t="str">
        <x:v>Workspace- Safety and security</x:v>
      </x:c>
      <x:c r="D230" s="12" t="str">
        <x:v>Property site</x:v>
      </x:c>
      <x:c r="E230" s="12" t="str">
        <x:v>Project components:
Improvement Type: Site, Category: Safety, Subcategory: Security - Cameras, Description: Additional Cameras, Invest#: 34.04
Improvement Type: Site, Category: Safety, Subcategory: Security - Lighting, Description: Lighting by gate for saftey (24 hour staff), Invest#: 34.02
Improvement Type: Site, Category: Safety, Subcategory: Security - Gate, Description: New automatic gate with keyless entry, Invest#: 34.01
Improvement Type: Site, Category: Safety, Subcategory: Security - Fencing, Description: Upgraded Fencing, Invest#: 34.03</x:v>
      </x:c>
      <x:c r="F230" s="21" t="n">
        <x:v>40000</x:v>
      </x:c>
      <x:c r="G230" s="7" t="str">
        <x:v>Buildings / building systems</x:v>
      </x:c>
      <x:c r="H230" s="7" t="str">
        <x:v>KGW November 2023 report; estimate dates not supplied</x:v>
      </x:c>
      <x:c r="I230" s="7" t="str">
        <x:v>https://flo.uri.sh/visualisation/15494950/embed</x:v>
      </x:c>
    </x:row>
    <x:row r="231" ht="46" customHeight="1">
      <x:c r="A231" s="8" t="n">
        <x:v>227</x:v>
      </x:c>
      <x:c r="B231" s="11" t="str">
        <x:v>East Delta Park</x:v>
      </x:c>
      <x:c r="C231" s="11" t="str">
        <x:v>Renovate the Roof of Administration building</x:v>
      </x:c>
      <x:c r="D231" s="11" t="str">
        <x:v>Urban Forestry Office</x:v>
      </x:c>
      <x:c r="E231" s="11" t="str">
        <x:v>Fix or replace the Roof that is rated 4 through buildings' assessment</x:v>
      </x:c>
      <x:c r="F231" s="20" t="n">
        <x:v>376772</x:v>
      </x:c>
      <x:c r="G231" s="8" t="str">
        <x:v>Buildings / building systems</x:v>
      </x:c>
      <x:c r="H231" s="8" t="str">
        <x:v>KGW November 2023 report; estimate dates not supplied</x:v>
      </x:c>
      <x:c r="I231" s="8" t="str">
        <x:v>https://flo.uri.sh/visualisation/15494950/embed</x:v>
      </x:c>
    </x:row>
    <x:row r="232" ht="46" customHeight="1">
      <x:c r="A232" s="7" t="n">
        <x:v>228</x:v>
      </x:c>
      <x:c r="B232" s="12" t="str">
        <x:v>East Delta Park</x:v>
      </x:c>
      <x:c r="C232" s="12" t="str">
        <x:v>Workspace- Interior building renovation</x:v>
      </x:c>
      <x:c r="D232" s="12" t="str">
        <x:v>Urban Forestry Trailer, ID-76</x:v>
      </x:c>
      <x:c r="E232" s="12" t="str">
        <x:v>Project components as below:
Improvement Type: Building, Category: Interior, Subcategory: Furnishings, Description: Furniture Solution for additional FTEs, Invest#: 76.01
Improvement Type: Building, Category: Renovation, Subcategory: NA, Description: Increase office and meeting areas, Invest#: 76.03
Improvement Type: Building, Category: Interior, Subcategory: Furnishings, Description: Provide Lockers, Invest#: 76.04</x:v>
      </x:c>
      <x:c r="F232" s="21" t="n">
        <x:v>30000</x:v>
      </x:c>
      <x:c r="G232" s="7" t="str">
        <x:v>Buildings / building systems</x:v>
      </x:c>
      <x:c r="H232" s="7" t="str">
        <x:v>KGW November 2023 report; estimate dates not supplied</x:v>
      </x:c>
      <x:c r="I232" s="7" t="str">
        <x:v>https://flo.uri.sh/visualisation/15494950/embed</x:v>
      </x:c>
    </x:row>
    <x:row r="233" ht="46" customHeight="1">
      <x:c r="A233" s="8" t="n">
        <x:v>229</x:v>
      </x:c>
      <x:c r="B233" s="11" t="str">
        <x:v>East Delta Park</x:v>
      </x:c>
      <x:c r="C233" s="11" t="str">
        <x:v>Workspace- Interior and exterior building renovation</x:v>
      </x:c>
      <x:c r="D233" s="11" t="str">
        <x:v>Modular Bldg, ID-1806</x:v>
      </x:c>
      <x:c r="E233" s="11" t="str">
        <x:v>Project components:
Improvement Type: Building, Category: Interior, Subcategory: Furnishings, Description: Furniture Solution for additional FTEs, Invest#: 1806.01
Improvement Type: Building, Category: Storage - Outdoor, Subcategory: NA, Description: Provide additional exterior storage, Invest#: 1806.06
Improvement Type: Building, Category: Interior, Subcategory: Furnishings, Description: Provide Lockers, Invest#: 1806.05</x:v>
      </x:c>
      <x:c r="F233" s="20" t="n">
        <x:v>30000</x:v>
      </x:c>
      <x:c r="G233" s="8" t="str">
        <x:v>Buildings / building systems</x:v>
      </x:c>
      <x:c r="H233" s="8" t="str">
        <x:v>KGW November 2023 report; estimate dates not supplied</x:v>
      </x:c>
      <x:c r="I233" s="8" t="str">
        <x:v>https://flo.uri.sh/visualisation/15494950/embed</x:v>
      </x:c>
    </x:row>
    <x:row r="234" ht="46" customHeight="1">
      <x:c r="A234" s="7" t="n">
        <x:v>230</x:v>
      </x:c>
      <x:c r="B234" s="12" t="str">
        <x:v>East Delta Park</x:v>
      </x:c>
      <x:c r="C234" s="12" t="str">
        <x:v>Renovate the Roof of Maintenance - Storage building</x:v>
      </x:c>
      <x:c r="D234" s="12" t="str">
        <x:v>Urban Forestry Barn</x:v>
      </x:c>
      <x:c r="E234" s="12" t="str">
        <x:v>Fix or replace the Roof that is rated 4 through buildings' assessment</x:v>
      </x:c>
      <x:c r="F234" s="21" t="n">
        <x:v>3925991</x:v>
      </x:c>
      <x:c r="G234" s="7" t="str">
        <x:v>Buildings / building systems</x:v>
      </x:c>
      <x:c r="H234" s="7" t="str">
        <x:v>KGW November 2023 report; estimate dates not supplied</x:v>
      </x:c>
      <x:c r="I234" s="7" t="str">
        <x:v>https://flo.uri.sh/visualisation/15494950/embed</x:v>
      </x:c>
    </x:row>
    <x:row r="235" ht="46" customHeight="1">
      <x:c r="A235" s="8" t="n">
        <x:v>231</x:v>
      </x:c>
      <x:c r="B235" s="11" t="str">
        <x:v>East Delta Park</x:v>
      </x:c>
      <x:c r="C235" s="11" t="str">
        <x:v>ESPC-II_ East Delta Park - Owens Sports Complex</x:v>
      </x:c>
      <x:c r="D235" s="11" t="str"/>
      <x:c r="E235" s="11" t="str">
        <x:v>Tighten schedules and setpoints to match occupancy and maintain a 5F deadband between occupied heating and cooling setpoints.. FIM Name: 04.01-1123 DDC/Control System Optimization</x:v>
      </x:c>
      <x:c r="F235" s="20" t="n">
        <x:v>3809</x:v>
      </x:c>
      <x:c r="G235" s="8" t="str">
        <x:v>Fields / courts / play</x:v>
      </x:c>
      <x:c r="H235" s="8" t="str">
        <x:v>KGW November 2023 report; estimate dates not supplied</x:v>
      </x:c>
      <x:c r="I235" s="8" t="str">
        <x:v>https://flo.uri.sh/visualisation/15494950/embed</x:v>
      </x:c>
    </x:row>
    <x:row r="236" ht="46" customHeight="1">
      <x:c r="A236" s="7" t="n">
        <x:v>232</x:v>
      </x:c>
      <x:c r="B236" s="12" t="str">
        <x:v>East Delta Park</x:v>
      </x:c>
      <x:c r="C236" s="12" t="str">
        <x:v>Field lighting</x:v>
      </x:c>
      <x:c r="D236" s="12" t="str">
        <x:v>East Delta Park</x:v>
      </x:c>
      <x:c r="E236" s="12" t="str">
        <x:v>Replace non-functional field lighting at outer fields at Owens Sports Complex</x:v>
      </x:c>
      <x:c r="F236" s="21" t="n">
        <x:v>239866</x:v>
      </x:c>
      <x:c r="G236" s="7" t="str">
        <x:v>Fields / courts / play</x:v>
      </x:c>
      <x:c r="H236" s="7" t="str">
        <x:v>KGW November 2023 report; estimate dates not supplied</x:v>
      </x:c>
      <x:c r="I236" s="7" t="str">
        <x:v>https://flo.uri.sh/visualisation/15494950/embed</x:v>
      </x:c>
    </x:row>
    <x:row r="237" ht="46" customHeight="1">
      <x:c r="A237" s="8" t="n">
        <x:v>233</x:v>
      </x:c>
      <x:c r="B237" s="11" t="str">
        <x:v>East Delta Park</x:v>
      </x:c>
      <x:c r="C237" s="11" t="str">
        <x:v>Secure hanging fiberglass insulation</x:v>
      </x:c>
      <x:c r="D237" s="11" t="str">
        <x:v>Maintenance Building</x:v>
      </x:c>
      <x:c r="E237" s="11" t="str">
        <x:v>Problem: Fiberglass insulation of tool storage barn attached to naintenance building is falling. Rain water go through the roof, make the fiberglass wet and heavy, and tend to fall
Solution1 (Recommended): Fix the roof and replace the insulation
Solution2 (Temporary): Use steel strap to hold the fiberglass where there is potentially falling. Straps, screws and washers can be delivered to technicians in East Delta park rather than submit WO whenever there is problem</x:v>
      </x:c>
      <x:c r="F237" s="20" t="n">
        <x:v>231421</x:v>
      </x:c>
      <x:c r="G237" s="8" t="str">
        <x:v>Buildings / building systems</x:v>
      </x:c>
      <x:c r="H237" s="8" t="str">
        <x:v>KGW November 2023 report; estimate dates not supplied</x:v>
      </x:c>
      <x:c r="I237" s="8" t="str">
        <x:v>https://flo.uri.sh/visualisation/15494950/embed</x:v>
      </x:c>
    </x:row>
    <x:row r="238" ht="46" customHeight="1">
      <x:c r="A238" s="7" t="n">
        <x:v>234</x:v>
      </x:c>
      <x:c r="B238" s="12" t="str">
        <x:v>East Delta Park</x:v>
      </x:c>
      <x:c r="C238" s="12" t="str">
        <x:v>ESPC-II_ East Delta Park</x:v>
      </x:c>
      <x:c r="D238" s="12" t="str"/>
      <x:c r="E238" s="12" t="str">
        <x:v>Replace existing HPS fixtures with LED fixtures.  Existing poles to remain.. FIM Name: 09.02-0034 Soccer Field Lighting LED Conversion</x:v>
      </x:c>
      <x:c r="F238" s="21" t="n">
        <x:v>220947</x:v>
      </x:c>
      <x:c r="G238" s="7" t="str">
        <x:v>Fields / courts / play</x:v>
      </x:c>
      <x:c r="H238" s="7" t="str">
        <x:v>KGW November 2023 report; estimate dates not supplied</x:v>
      </x:c>
      <x:c r="I238" s="7" t="str">
        <x:v>https://flo.uri.sh/visualisation/15494950/embed</x:v>
      </x:c>
    </x:row>
    <x:row r="239" ht="46" customHeight="1">
      <x:c r="A239" s="8" t="n">
        <x:v>235</x:v>
      </x:c>
      <x:c r="B239" s="11" t="str">
        <x:v>East Delta Park</x:v>
      </x:c>
      <x:c r="C239" s="11" t="str">
        <x:v>ESPC-II_ East Delta Park</x:v>
      </x:c>
      <x:c r="D239" s="11" t="str"/>
      <x:c r="E239" s="11" t="str">
        <x:v>For non-Musco field lights, an astronomical clock to keep field lights off until dusk/dark
For non-Musco field lights, dim at 10pm, off at 11
For non-Musco field lights, occupancy sensors to keep them on. FIM Name: 09.11-0034 Baseball Field Lighting Controls</x:v>
      </x:c>
      <x:c r="F239" s="20" t="n">
        <x:v>22625</x:v>
      </x:c>
      <x:c r="G239" s="8" t="str">
        <x:v>Fields / courts / play</x:v>
      </x:c>
      <x:c r="H239" s="8" t="str">
        <x:v>KGW November 2023 report; estimate dates not supplied</x:v>
      </x:c>
      <x:c r="I239" s="8" t="str">
        <x:v>https://flo.uri.sh/visualisation/15494950/embed</x:v>
      </x:c>
    </x:row>
    <x:row r="240" ht="46" customHeight="1">
      <x:c r="A240" s="7" t="n">
        <x:v>236</x:v>
      </x:c>
      <x:c r="B240" s="12" t="str">
        <x:v>East Delta Park</x:v>
      </x:c>
      <x:c r="C240" s="12" t="str">
        <x:v>Install fencing in the front walkway at the delta sports office</x:v>
      </x:c>
      <x:c r="D240" s="12" t="str">
        <x:v>Sport office</x:v>
      </x:c>
      <x:c r="E240" s="12" t="str">
        <x:v>Install fencing in the front walkway at the delta sports office. talks still need to happen on what kind of fence</x:v>
      </x:c>
      <x:c r="F240" s="21" t="n">
        <x:v>21869</x:v>
      </x:c>
      <x:c r="G240" s="7" t="str">
        <x:v>Paths / access / bridges</x:v>
      </x:c>
      <x:c r="H240" s="7" t="str">
        <x:v>KGW November 2023 report; estimate dates not supplied</x:v>
      </x:c>
      <x:c r="I240" s="7" t="str">
        <x:v>https://flo.uri.sh/visualisation/15494950/embed</x:v>
      </x:c>
    </x:row>
    <x:row r="241" ht="46" customHeight="1">
      <x:c r="A241" s="8" t="n">
        <x:v>237</x:v>
      </x:c>
      <x:c r="B241" s="11" t="str">
        <x:v>East Delta Park</x:v>
      </x:c>
      <x:c r="C241" s="11" t="str">
        <x:v>Pathway Renovation</x:v>
      </x:c>
      <x:c r="D241" s="11" t="str">
        <x:v>East Delta Park</x:v>
      </x:c>
      <x:c r="E241" s="11" t="str">
        <x:v>Replace the damaged pathway, trails and sidewalks that have been rated as 4 and 5 in Pathway assessment</x:v>
      </x:c>
      <x:c r="F241" s="20" t="n">
        <x:v>196098</x:v>
      </x:c>
      <x:c r="G241" s="8" t="str">
        <x:v>Paths / access / bridges</x:v>
      </x:c>
      <x:c r="H241" s="8" t="str">
        <x:v>KGW November 2023 report; estimate dates not supplied</x:v>
      </x:c>
      <x:c r="I241" s="8" t="str">
        <x:v>https://flo.uri.sh/visualisation/15494950/embed</x:v>
      </x:c>
    </x:row>
    <x:row r="242" ht="46" customHeight="1">
      <x:c r="A242" s="7" t="n">
        <x:v>238</x:v>
      </x:c>
      <x:c r="B242" s="12" t="str">
        <x:v>East Delta Park</x:v>
      </x:c>
      <x:c r="C242" s="12" t="str">
        <x:v>Net and poles of play field</x:v>
      </x:c>
      <x:c r="D242" s="12" t="str">
        <x:v>East Delta Park</x:v>
      </x:c>
      <x:c r="E242" s="12" t="str">
        <x:v>- Repair/replace netting and poles at Owens Sports Complex
- The flaky paint and brittle netting is becoming a safety hazard</x:v>
      </x:c>
      <x:c r="F242" s="21" t="n">
        <x:v>179900</x:v>
      </x:c>
      <x:c r="G242" s="7" t="str">
        <x:v>Fields / courts / play</x:v>
      </x:c>
      <x:c r="H242" s="7" t="str">
        <x:v>KGW November 2023 report; estimate dates not supplied</x:v>
      </x:c>
      <x:c r="I242" s="7" t="str">
        <x:v>https://flo.uri.sh/visualisation/15494950/embed</x:v>
      </x:c>
    </x:row>
    <x:row r="243" ht="46" customHeight="1">
      <x:c r="A243" s="8" t="n">
        <x:v>239</x:v>
      </x:c>
      <x:c r="B243" s="11" t="str">
        <x:v>East Delta Park</x:v>
      </x:c>
      <x:c r="C243" s="11" t="str">
        <x:v>ESPC-II_ East Delta Park - Owens Sports Complex</x:v>
      </x:c>
      <x:c r="D243" s="11" t="str"/>
      <x:c r="E243" s="11" t="str">
        <x:v>Convert existing lighting to LED technology via a re-lamp approach.. FIM Name: 09.06-1123 Building Interior Lighting LED Conversion</x:v>
      </x:c>
      <x:c r="F243" s="20" t="n">
        <x:v>15589</x:v>
      </x:c>
      <x:c r="G243" s="8" t="str">
        <x:v>Buildings / building systems</x:v>
      </x:c>
      <x:c r="H243" s="8" t="str">
        <x:v>KGW November 2023 report; estimate dates not supplied</x:v>
      </x:c>
      <x:c r="I243" s="8" t="str">
        <x:v>https://flo.uri.sh/visualisation/15494950/embed</x:v>
      </x:c>
    </x:row>
    <x:row r="244" ht="46" customHeight="1">
      <x:c r="A244" s="7" t="n">
        <x:v>240</x:v>
      </x:c>
      <x:c r="B244" s="12" t="str">
        <x:v>East Delta Park</x:v>
      </x:c>
      <x:c r="C244" s="12" t="str">
        <x:v>Wooden bleachers</x:v>
      </x:c>
      <x:c r="D244" s="12" t="str">
        <x:v>East Delta Park</x:v>
      </x:c>
      <x:c r="E244" s="12" t="str">
        <x:v>Replace obsolete and non-compliant wooden bleachers at Strasser Field</x:v>
      </x:c>
      <x:c r="F244" s="21" t="n">
        <x:v>149916</x:v>
      </x:c>
      <x:c r="G244" s="7" t="str">
        <x:v>Fields / courts / play</x:v>
      </x:c>
      <x:c r="H244" s="7" t="str">
        <x:v>KGW November 2023 report; estimate dates not supplied</x:v>
      </x:c>
      <x:c r="I244" s="7" t="str">
        <x:v>https://flo.uri.sh/visualisation/15494950/embed</x:v>
      </x:c>
    </x:row>
    <x:row r="245" ht="46" customHeight="1">
      <x:c r="A245" s="8" t="n">
        <x:v>241</x:v>
      </x:c>
      <x:c r="B245" s="11" t="str">
        <x:v>East Delta Park</x:v>
      </x:c>
      <x:c r="C245" s="11" t="str">
        <x:v>Renovate Electrical and Mechanical Equipment</x:v>
      </x:c>
      <x:c r="D245" s="11" t="str">
        <x:v>HQ, Owens complex, UF office</x:v>
      </x:c>
      <x:c r="E245" s="11" t="str">
        <x:v>Electrical and mechanical equipment’s passed 25 year of service and need to replace.</x:v>
      </x:c>
      <x:c r="F245" s="20" t="n">
        <x:v>100000</x:v>
      </x:c>
      <x:c r="G245" s="8" t="str">
        <x:v>Utilities / lighting / drainage</x:v>
      </x:c>
      <x:c r="H245" s="8" t="str">
        <x:v>KGW November 2023 report; estimate dates not supplied</x:v>
      </x:c>
      <x:c r="I245" s="8" t="str">
        <x:v>https://flo.uri.sh/visualisation/15494950/embed</x:v>
      </x:c>
    </x:row>
    <x:row r="246" ht="46" customHeight="1">
      <x:c r="A246" s="7" t="n">
        <x:v>242</x:v>
      </x:c>
      <x:c r="B246" s="12" t="str">
        <x:v>East Delta Park</x:v>
      </x:c>
      <x:c r="C246" s="12" t="str">
        <x:v>ESPC-II_ East Delta Park</x:v>
      </x:c>
      <x:c r="D246" s="12" t="str"/>
      <x:c r="E246" s="12" t="str">
        <x:v>Refurbish existing well at East Delta Park via sonar-jet cleaning of well casing to disintegrate mineral and bacterial deposits.. FIM Name: 18.01-0034 Refurbish Existing Well</x:v>
      </x:c>
      <x:c r="F246" s="21" t="n">
        <x:v>10606</x:v>
      </x:c>
      <x:c r="G246" s="7" t="str">
        <x:v>Other site infrastructure</x:v>
      </x:c>
      <x:c r="H246" s="7" t="str">
        <x:v>KGW November 2023 report; estimate dates not supplied</x:v>
      </x:c>
      <x:c r="I246" s="7" t="str">
        <x:v>https://flo.uri.sh/visualisation/15494950/embed</x:v>
      </x:c>
    </x:row>
    <x:row r="247" ht="46" customHeight="1">
      <x:c r="A247" s="8" t="n">
        <x:v>243</x:v>
      </x:c>
      <x:c r="B247" s="11" t="str">
        <x:v>East Delta Park</x:v>
      </x:c>
      <x:c r="C247" s="11" t="str">
        <x:v>Workspace- Provide ADA accessibility</x:v>
      </x:c>
      <x:c r="D247" s="11" t="str">
        <x:v>Urban Forestry Trailer, ID-76</x:v>
      </x:c>
      <x:c r="E247" s="11" t="str">
        <x:v>Improvement Type: Building, Category: Accessibility, Subcategory: ADA, Description: Provide ADA assessment, Invest#: 76.05</x:v>
      </x:c>
      <x:c r="F247" s="20" t="n">
        <x:v>10000</x:v>
      </x:c>
      <x:c r="G247" s="8" t="str">
        <x:v>Buildings / building systems</x:v>
      </x:c>
      <x:c r="H247" s="8" t="str">
        <x:v>KGW November 2023 report; estimate dates not supplied</x:v>
      </x:c>
      <x:c r="I247" s="8" t="str">
        <x:v>https://flo.uri.sh/visualisation/15494950/embed</x:v>
      </x:c>
    </x:row>
    <x:row r="248" ht="46" customHeight="1">
      <x:c r="A248" s="7" t="n">
        <x:v>244</x:v>
      </x:c>
      <x:c r="B248" s="12" t="str">
        <x:v>East Delta Park</x:v>
      </x:c>
      <x:c r="C248" s="12" t="str">
        <x:v>ESPC-II_ East Delta Park</x:v>
      </x:c>
      <x:c r="D248" s="12" t="str"/>
      <x:c r="E248" s="12" t="str">
        <x:v>Install a GE control node on each pathway light fixture.  Node for parks with &lt;50 fixtures will be model #ELWM18BXXXXAD.  Node for parks with &gt;50 fixtures will be model #ELWN08BXXXXAD.. FIM Name: 09.17-0034 Building Exterior Lighting Controls</x:v>
      </x:c>
      <x:c r="F248" s="21" t="n">
        <x:v>1831</x:v>
      </x:c>
      <x:c r="G248" s="7" t="str">
        <x:v>Buildings / building systems</x:v>
      </x:c>
      <x:c r="H248" s="7" t="str">
        <x:v>KGW November 2023 report; estimate dates not supplied</x:v>
      </x:c>
      <x:c r="I248" s="7" t="str">
        <x:v>https://flo.uri.sh/visualisation/15494950/embed</x:v>
      </x:c>
    </x:row>
    <x:row r="249" ht="46" customHeight="1">
      <x:c r="A249" s="8" t="n">
        <x:v>245</x:v>
      </x:c>
      <x:c r="B249" s="11" t="str">
        <x:v>East Delta Park</x:v>
      </x:c>
      <x:c r="C249" s="11" t="str">
        <x:v>ESPC-II_ East Delta Park - Owens Sports Complex</x:v>
      </x:c>
      <x:c r="D249" s="11" t="str"/>
      <x:c r="E249" s="11" t="str">
        <x:v>Convert existing lighting to LED technology via a re-lamp approach.. FIM Name: 09.07-1123 Building Exterior Lighting LED Conversion</x:v>
      </x:c>
      <x:c r="F249" s="20" t="n">
        <x:v>1528</x:v>
      </x:c>
      <x:c r="G249" s="8" t="str">
        <x:v>Buildings / building systems</x:v>
      </x:c>
      <x:c r="H249" s="8" t="str">
        <x:v>KGW November 2023 report; estimate dates not supplied</x:v>
      </x:c>
      <x:c r="I249" s="8" t="str">
        <x:v>https://flo.uri.sh/visualisation/15494950/embed</x:v>
      </x:c>
    </x:row>
    <x:row r="250" ht="46" customHeight="1">
      <x:c r="A250" s="7" t="n">
        <x:v>246</x:v>
      </x:c>
      <x:c r="B250" s="12" t="str">
        <x:v>East Delta Park</x:v>
      </x:c>
      <x:c r="C250" s="12" t="str">
        <x:v>Additional Improvements; concessions, bleachers, r</x:v>
      </x:c>
      <x:c r="D250" s="12" t="str">
        <x:v>East Delta Park</x:v>
      </x:c>
      <x:c r="E250" s="12" t="str">
        <x:v>Build concession stand, bleachers and restroom for Strasser Field.  Add security improvements ($.9M)</x:v>
      </x:c>
      <x:c r="F250" s="21" t="n">
        <x:v>1393267</x:v>
      </x:c>
      <x:c r="G250" s="7" t="str">
        <x:v>Fields / courts / play</x:v>
      </x:c>
      <x:c r="H250" s="7" t="str">
        <x:v>KGW November 2023 report; estimate dates not supplied</x:v>
      </x:c>
      <x:c r="I250" s="7" t="str">
        <x:v>https://flo.uri.sh/visualisation/15494950/embed</x:v>
      </x:c>
    </x:row>
    <x:row r="251" ht="46" customHeight="1">
      <x:c r="A251" s="8" t="n">
        <x:v>247</x:v>
      </x:c>
      <x:c r="B251" s="11" t="str">
        <x:v>East Delta Park</x:v>
      </x:c>
      <x:c r="C251" s="11" t="str">
        <x:v>ESPC-II_ East Delta Park - Owens Sports Complex</x:v>
      </x:c>
      <x:c r="D251" s="11" t="str"/>
      <x:c r="E251" s="11" t="str">
        <x:v>Install Vending Misers vending machine plug load management system for (3x) cold drink machines at East Delta Owens Sports Complex.. FIM Name: 16.00-1123 Install Vending Misers</x:v>
      </x:c>
      <x:c r="F251" s="20" t="n">
        <x:v>1061</x:v>
      </x:c>
      <x:c r="G251" s="8" t="str">
        <x:v>Fields / courts / play</x:v>
      </x:c>
      <x:c r="H251" s="8" t="str">
        <x:v>KGW November 2023 report; estimate dates not supplied</x:v>
      </x:c>
      <x:c r="I251" s="8" t="str">
        <x:v>https://flo.uri.sh/visualisation/15494950/embed</x:v>
      </x:c>
    </x:row>
    <x:row r="252" ht="46" customHeight="1">
      <x:c r="A252" s="7" t="n">
        <x:v>248</x:v>
      </x:c>
      <x:c r="B252" s="12" t="str">
        <x:v>East Holladay Park</x:v>
      </x:c>
      <x:c r="C252" s="12" t="str">
        <x:v>Renovate Playground</x:v>
      </x:c>
      <x:c r="D252" s="12" t="str">
        <x:v>Play area A</x:v>
      </x:c>
      <x:c r="E252" s="12" t="str">
        <x:v>Renovate playground rated 4 or 5 in condition assessment</x:v>
      </x:c>
      <x:c r="F252" s="21" t="n">
        <x:v>258582</x:v>
      </x:c>
      <x:c r="G252" s="7" t="str">
        <x:v>Fields / courts / play</x:v>
      </x:c>
      <x:c r="H252" s="7" t="str">
        <x:v>KGW November 2023 report; estimate dates not supplied</x:v>
      </x:c>
      <x:c r="I252" s="7" t="str">
        <x:v>https://flo.uri.sh/visualisation/15494950/embed</x:v>
      </x:c>
    </x:row>
    <x:row r="253" ht="46" customHeight="1">
      <x:c r="A253" s="8" t="n">
        <x:v>249</x:v>
      </x:c>
      <x:c r="B253" s="11" t="str">
        <x:v>Eastmoreland Garden</x:v>
      </x:c>
      <x:c r="C253" s="11" t="str">
        <x:v>Pathway Renovation</x:v>
      </x:c>
      <x:c r="D253" s="11" t="str">
        <x:v>Internal Pathway/ Sidewalk</x:v>
      </x:c>
      <x:c r="E253" s="11" t="str">
        <x:v>Replace the damaged pathway, trails and sidewalks that have been rated as 4 and 5 in Pathway assessment</x:v>
      </x:c>
      <x:c r="F253" s="20" t="n">
        <x:v>19073</x:v>
      </x:c>
      <x:c r="G253" s="8" t="str">
        <x:v>Paths / access / bridges</x:v>
      </x:c>
      <x:c r="H253" s="8" t="str">
        <x:v>KGW November 2023 report; estimate dates not supplied</x:v>
      </x:c>
      <x:c r="I253" s="8" t="str">
        <x:v>https://flo.uri.sh/visualisation/15494950/embed</x:v>
      </x:c>
    </x:row>
    <x:row r="254" ht="46" customHeight="1">
      <x:c r="A254" s="7" t="n">
        <x:v>250</x:v>
      </x:c>
      <x:c r="B254" s="12" t="str">
        <x:v>Eastmoreland Golf Course</x:v>
      </x:c>
      <x:c r="C254" s="12" t="str">
        <x:v>Pathway Renovation</x:v>
      </x:c>
      <x:c r="D254" s="12" t="str">
        <x:v>Eastmoreland Golf Course</x:v>
      </x:c>
      <x:c r="E254" s="12" t="str">
        <x:v>Replace the damaged pathway, trails and sidewalks that have been rated as 4 and 5 in Pathway assessment</x:v>
      </x:c>
      <x:c r="F254" s="21" t="n">
        <x:v>554769</x:v>
      </x:c>
      <x:c r="G254" s="7" t="str">
        <x:v>Paths / access / bridges</x:v>
      </x:c>
      <x:c r="H254" s="7" t="str">
        <x:v>KGW November 2023 report; estimate dates not supplied</x:v>
      </x:c>
      <x:c r="I254" s="7" t="str">
        <x:v>https://flo.uri.sh/visualisation/15494950/embed</x:v>
      </x:c>
    </x:row>
    <x:row r="255" ht="46" customHeight="1">
      <x:c r="A255" s="8" t="n">
        <x:v>251</x:v>
      </x:c>
      <x:c r="B255" s="11" t="str">
        <x:v>Eastmoreland Golf Course</x:v>
      </x:c>
      <x:c r="C255" s="11" t="str">
        <x:v>Roof Replacement</x:v>
      </x:c>
      <x:c r="D255" s="11" t="str"/>
      <x:c r="E255" s="11" t="str">
        <x:v>Roofs of south and noth restrooms are in Bad condition and rated as bad through condition aseesment</x:v>
      </x:c>
      <x:c r="F255" s="20" t="n">
        <x:v>35980</x:v>
      </x:c>
      <x:c r="G255" s="8" t="str">
        <x:v>Buildings / building systems</x:v>
      </x:c>
      <x:c r="H255" s="8" t="str">
        <x:v>KGW November 2023 report; estimate dates not supplied</x:v>
      </x:c>
      <x:c r="I255" s="8" t="str">
        <x:v>https://flo.uri.sh/visualisation/15494950/embed</x:v>
      </x:c>
    </x:row>
    <x:row r="256" ht="46" customHeight="1">
      <x:c r="A256" s="7" t="n">
        <x:v>252</x:v>
      </x:c>
      <x:c r="B256" s="12" t="str">
        <x:v>Eastmoreland Golf Course</x:v>
      </x:c>
      <x:c r="C256" s="12" t="str">
        <x:v>Renovate the Roof of Clubhouse building</x:v>
      </x:c>
      <x:c r="D256" s="12" t="str">
        <x:v>Clubhouse</x:v>
      </x:c>
      <x:c r="E256" s="12" t="str">
        <x:v>Fix or replace the Roof that is rated 4 through buildings' assessment</x:v>
      </x:c>
      <x:c r="F256" s="21" t="n">
        <x:v>2536067</x:v>
      </x:c>
      <x:c r="G256" s="7" t="str">
        <x:v>Buildings / building systems</x:v>
      </x:c>
      <x:c r="H256" s="7" t="str">
        <x:v>KGW November 2023 report; estimate dates not supplied</x:v>
      </x:c>
      <x:c r="I256" s="7" t="str">
        <x:v>https://flo.uri.sh/visualisation/15494950/embed</x:v>
      </x:c>
    </x:row>
    <x:row r="257" ht="46" customHeight="1">
      <x:c r="A257" s="8" t="n">
        <x:v>253</x:v>
      </x:c>
      <x:c r="B257" s="11" t="str">
        <x:v>Eastmoreland Golf Course</x:v>
      </x:c>
      <x:c r="C257" s="11" t="str">
        <x:v>Renovate the Roof of Maintenance building</x:v>
      </x:c>
      <x:c r="D257" s="11" t="str">
        <x:v>Maintenance Shop</x:v>
      </x:c>
      <x:c r="E257" s="11" t="str">
        <x:v>Fix or replace the Roof that is rated 4 through buildings' assessment</x:v>
      </x:c>
      <x:c r="F257" s="20" t="n">
        <x:v>2447983</x:v>
      </x:c>
      <x:c r="G257" s="8" t="str">
        <x:v>Buildings / building systems</x:v>
      </x:c>
      <x:c r="H257" s="8" t="str">
        <x:v>KGW November 2023 report; estimate dates not supplied</x:v>
      </x:c>
      <x:c r="I257" s="8" t="str">
        <x:v>https://flo.uri.sh/visualisation/15494950/embed</x:v>
      </x:c>
    </x:row>
    <x:row r="258" ht="46" customHeight="1">
      <x:c r="A258" s="7" t="n">
        <x:v>254</x:v>
      </x:c>
      <x:c r="B258" s="12" t="str">
        <x:v>Eastmoreland Golf Course</x:v>
      </x:c>
      <x:c r="C258" s="12" t="str">
        <x:v>Clubhouse Windows</x:v>
      </x:c>
      <x:c r="D258" s="12" t="str">
        <x:v>Eastmoreland Golf Course Clubhouse</x:v>
      </x:c>
      <x:c r="E258" s="12" t="str">
        <x:v>May be finished by June 2018</x:v>
      </x:c>
      <x:c r="F258" s="21" t="n">
        <x:v>17990</x:v>
      </x:c>
      <x:c r="G258" s="7" t="str">
        <x:v>Buildings / building systems</x:v>
      </x:c>
      <x:c r="H258" s="7" t="str">
        <x:v>KGW November 2023 report; estimate dates not supplied</x:v>
      </x:c>
      <x:c r="I258" s="7" t="str">
        <x:v>https://flo.uri.sh/visualisation/15494950/embed</x:v>
      </x:c>
    </x:row>
    <x:row r="259" ht="46" customHeight="1">
      <x:c r="A259" s="8" t="n">
        <x:v>255</x:v>
      </x:c>
      <x:c r="B259" s="11" t="str">
        <x:v>Eastmoreland Golf Course</x:v>
      </x:c>
      <x:c r="C259" s="11" t="str">
        <x:v>Replace old HVAC system</x:v>
      </x:c>
      <x:c r="D259" s="11" t="str">
        <x:v>Clubhouse</x:v>
      </x:c>
      <x:c r="E259" s="11" t="str">
        <x:v>Placeholder: replace HVAC system that was installed before 2000</x:v>
      </x:c>
      <x:c r="F259" s="20" t="n">
        <x:v>131910</x:v>
      </x:c>
      <x:c r="G259" s="8" t="str">
        <x:v>Buildings / building systems</x:v>
      </x:c>
      <x:c r="H259" s="8" t="str">
        <x:v>KGW November 2023 report; estimate dates not supplied</x:v>
      </x:c>
      <x:c r="I259" s="8" t="str">
        <x:v>https://flo.uri.sh/visualisation/15494950/embed</x:v>
      </x:c>
    </x:row>
    <x:row r="260" ht="46" customHeight="1">
      <x:c r="A260" s="7" t="n">
        <x:v>256</x:v>
      </x:c>
      <x:c r="B260" s="12" t="str">
        <x:v>Eastmoreland Golf Course</x:v>
      </x:c>
      <x:c r="C260" s="12" t="str">
        <x:v>Replace old HVAC system</x:v>
      </x:c>
      <x:c r="D260" s="12" t="str">
        <x:v>Maintenance Shop</x:v>
      </x:c>
      <x:c r="E260" s="12" t="str">
        <x:v>Placeholder: replace HVAC system that was installed before 2000</x:v>
      </x:c>
      <x:c r="F260" s="21" t="n">
        <x:v>13785</x:v>
      </x:c>
      <x:c r="G260" s="7" t="str">
        <x:v>Buildings / building systems</x:v>
      </x:c>
      <x:c r="H260" s="7" t="str">
        <x:v>KGW November 2023 report; estimate dates not supplied</x:v>
      </x:c>
      <x:c r="I260" s="7" t="str">
        <x:v>https://flo.uri.sh/visualisation/15494950/embed</x:v>
      </x:c>
    </x:row>
    <x:row r="261" ht="46" customHeight="1">
      <x:c r="A261" s="8" t="n">
        <x:v>257</x:v>
      </x:c>
      <x:c r="B261" s="11" t="str">
        <x:v>Eastmoreland Golf Course</x:v>
      </x:c>
      <x:c r="C261" s="11" t="str">
        <x:v>ESPC-III_Buildings Lighting to LEDs</x:v>
      </x:c>
      <x:c r="D261" s="11" t="str">
        <x:v>Maintenance</x:v>
      </x:c>
      <x:c r="E261" s="11" t="str">
        <x:v>LED conversion for Exterior and Interior Lights</x:v>
      </x:c>
      <x:c r="F261" s="20" t="n">
        <x:v>11760</x:v>
      </x:c>
      <x:c r="G261" s="8" t="str">
        <x:v>Buildings / building systems</x:v>
      </x:c>
      <x:c r="H261" s="8" t="str">
        <x:v>KGW November 2023 report; estimate dates not supplied</x:v>
      </x:c>
      <x:c r="I261" s="8" t="str">
        <x:v>https://flo.uri.sh/visualisation/15494950/embed</x:v>
      </x:c>
    </x:row>
    <x:row r="262" ht="46" customHeight="1">
      <x:c r="A262" s="7" t="n">
        <x:v>258</x:v>
      </x:c>
      <x:c r="B262" s="12" t="str">
        <x:v>Eastmoreland Golf Course</x:v>
      </x:c>
      <x:c r="C262" s="12" t="str">
        <x:v>ESPC-III_Buildings Lighting to LEDs</x:v>
      </x:c>
      <x:c r="D262" s="12" t="str">
        <x:v>Restroom</x:v>
      </x:c>
      <x:c r="E262" s="12" t="str">
        <x:v>LED conversion for Exterior and Interior Lights</x:v>
      </x:c>
      <x:c r="F262" s="21" t="n">
        <x:v>11760</x:v>
      </x:c>
      <x:c r="G262" s="7" t="str">
        <x:v>Buildings / building systems</x:v>
      </x:c>
      <x:c r="H262" s="7" t="str">
        <x:v>KGW November 2023 report; estimate dates not supplied</x:v>
      </x:c>
      <x:c r="I262" s="7" t="str">
        <x:v>https://flo.uri.sh/visualisation/15494950/embed</x:v>
      </x:c>
    </x:row>
    <x:row r="263" ht="46" customHeight="1">
      <x:c r="A263" s="8" t="n">
        <x:v>259</x:v>
      </x:c>
      <x:c r="B263" s="11" t="str">
        <x:v>Eastmoreland Playground Park</x:v>
      </x:c>
      <x:c r="C263" s="11" t="str">
        <x:v>Playground renovation</x:v>
      </x:c>
      <x:c r="D263" s="11" t="str">
        <x:v>Play Area A</x:v>
      </x:c>
      <x:c r="E263" s="11" t="str">
        <x:v>Renovation or repair playground that was rated as 4
 during playground assessment in 2020</x:v>
      </x:c>
      <x:c r="F263" s="20" t="n">
        <x:v>40782</x:v>
      </x:c>
      <x:c r="G263" s="8" t="str">
        <x:v>Fields / courts / play</x:v>
      </x:c>
      <x:c r="H263" s="8" t="str">
        <x:v>KGW November 2023 report; estimate dates not supplied</x:v>
      </x:c>
      <x:c r="I263" s="8" t="str">
        <x:v>https://flo.uri.sh/visualisation/15494950/embed</x:v>
      </x:c>
    </x:row>
    <x:row r="264" ht="46" customHeight="1">
      <x:c r="A264" s="7" t="n">
        <x:v>260</x:v>
      </x:c>
      <x:c r="B264" s="12" t="str">
        <x:v>Eastridge Park</x:v>
      </x:c>
      <x:c r="C264" s="12" t="str">
        <x:v>Pathway Renovation</x:v>
      </x:c>
      <x:c r="D264" s="12" t="str">
        <x:v>Internal Pathway/ Sidewalk</x:v>
      </x:c>
      <x:c r="E264" s="12" t="str">
        <x:v>Replace the damaged pathway, trails and sidewalks that have been rated as 4 and 5 in Pathway assessment</x:v>
      </x:c>
      <x:c r="F264" s="21" t="n">
        <x:v>69300</x:v>
      </x:c>
      <x:c r="G264" s="7" t="str">
        <x:v>Paths / access / bridges</x:v>
      </x:c>
      <x:c r="H264" s="7" t="str">
        <x:v>KGW November 2023 report; estimate dates not supplied</x:v>
      </x:c>
      <x:c r="I264" s="7" t="str">
        <x:v>https://flo.uri.sh/visualisation/15494950/embed</x:v>
      </x:c>
    </x:row>
    <x:row r="265" ht="46" customHeight="1">
      <x:c r="A265" s="8" t="n">
        <x:v>261</x:v>
      </x:c>
      <x:c r="B265" s="11" t="str">
        <x:v>Eastridge Park</x:v>
      </x:c>
      <x:c r="C265" s="11" t="str">
        <x:v>Renovate playground</x:v>
      </x:c>
      <x:c r="D265" s="11" t="str">
        <x:v>Play area A</x:v>
      </x:c>
      <x:c r="E265" s="11" t="str">
        <x:v>Renovate playground rated 4 or 5 in condition assessment</x:v>
      </x:c>
      <x:c r="F265" s="20" t="n">
        <x:v>267195</x:v>
      </x:c>
      <x:c r="G265" s="8" t="str">
        <x:v>Fields / courts / play</x:v>
      </x:c>
      <x:c r="H265" s="8" t="str">
        <x:v>KGW November 2023 report; estimate dates not supplied</x:v>
      </x:c>
      <x:c r="I265" s="8" t="str">
        <x:v>https://flo.uri.sh/visualisation/15494950/embed</x:v>
      </x:c>
    </x:row>
    <x:row r="266" ht="46" customHeight="1">
      <x:c r="A266" s="7" t="n">
        <x:v>262</x:v>
      </x:c>
      <x:c r="B266" s="12" t="str">
        <x:v>Eastridge Park</x:v>
      </x:c>
      <x:c r="C266" s="12" t="str">
        <x:v>ESPC-III_Pathway Lighting to LEDs</x:v>
      </x:c>
      <x:c r="D266" s="12" t="str"/>
      <x:c r="E266" s="12" t="str">
        <x:v>Pathway Lighting Conversion to LEDs and Controls. Aprox: 6 Poles</x:v>
      </x:c>
      <x:c r="F266" s="21" t="n">
        <x:v>21169</x:v>
      </x:c>
      <x:c r="G266" s="7" t="str">
        <x:v>Paths / access / bridges</x:v>
      </x:c>
      <x:c r="H266" s="7" t="str">
        <x:v>KGW November 2023 report; estimate dates not supplied</x:v>
      </x:c>
      <x:c r="I266" s="7" t="str">
        <x:v>https://flo.uri.sh/visualisation/15494950/embed</x:v>
      </x:c>
    </x:row>
    <x:row r="267" ht="46" customHeight="1">
      <x:c r="A267" s="8" t="n">
        <x:v>263</x:v>
      </x:c>
      <x:c r="B267" s="11" t="str">
        <x:v>Ed Benedict Park</x:v>
      </x:c>
      <x:c r="C267" s="11" t="str">
        <x:v>Pathway Renovation</x:v>
      </x:c>
      <x:c r="D267" s="11" t="str">
        <x:v>Ed Benedict Park</x:v>
      </x:c>
      <x:c r="E267" s="11" t="str">
        <x:v>Replace the damaged pathway, trails and sidewalks that have been rated as 4 and 5 in Pathway assessment</x:v>
      </x:c>
      <x:c r="F267" s="20" t="n">
        <x:v>70563</x:v>
      </x:c>
      <x:c r="G267" s="8" t="str">
        <x:v>Paths / access / bridges</x:v>
      </x:c>
      <x:c r="H267" s="8" t="str">
        <x:v>KGW November 2023 report; estimate dates not supplied</x:v>
      </x:c>
      <x:c r="I267" s="8" t="str">
        <x:v>https://flo.uri.sh/visualisation/15494950/embed</x:v>
      </x:c>
    </x:row>
    <x:row r="268" ht="46" customHeight="1">
      <x:c r="A268" s="7" t="n">
        <x:v>264</x:v>
      </x:c>
      <x:c r="B268" s="12" t="str">
        <x:v>Ed Benedict Park</x:v>
      </x:c>
      <x:c r="C268" s="12" t="str">
        <x:v>Repair pothole in Parking lot</x:v>
      </x:c>
      <x:c r="D268" s="12" t="str"/>
      <x:c r="E268" s="12" t="str">
        <x:v>Large, very deep pothole on north side of driveway heading into Ed Benedict parking lot along curb. This hole is collecting water and the surrounding soil appears to be slumping towards it. Looks like a safety hazard.</x:v>
      </x:c>
      <x:c r="F268" s="21" t="n">
        <x:v>23142</x:v>
      </x:c>
      <x:c r="G268" s="7" t="str">
        <x:v>Utilities / lighting / drainage</x:v>
      </x:c>
      <x:c r="H268" s="7" t="str">
        <x:v>KGW November 2023 report; estimate dates not supplied</x:v>
      </x:c>
      <x:c r="I268" s="7" t="str">
        <x:v>https://flo.uri.sh/visualisation/15494950/embed</x:v>
      </x:c>
    </x:row>
    <x:row r="269" ht="46" customHeight="1">
      <x:c r="A269" s="8" t="n">
        <x:v>265</x:v>
      </x:c>
      <x:c r="B269" s="11" t="str">
        <x:v>Ed Benedict Park</x:v>
      </x:c>
      <x:c r="C269" s="11" t="str">
        <x:v>Playground renovation</x:v>
      </x:c>
      <x:c r="D269" s="11" t="str">
        <x:v>Play Area A</x:v>
      </x:c>
      <x:c r="E269" s="11" t="str">
        <x:v>Renovation or repair playground that was rated as 4 during playground assessment in 2020</x:v>
      </x:c>
      <x:c r="F269" s="20" t="n">
        <x:v>210602</x:v>
      </x:c>
      <x:c r="G269" s="8" t="str">
        <x:v>Fields / courts / play</x:v>
      </x:c>
      <x:c r="H269" s="8" t="str">
        <x:v>KGW November 2023 report; estimate dates not supplied</x:v>
      </x:c>
      <x:c r="I269" s="8" t="str">
        <x:v>https://flo.uri.sh/visualisation/15494950/embed</x:v>
      </x:c>
    </x:row>
    <x:row r="270" ht="46" customHeight="1">
      <x:c r="A270" s="7" t="n">
        <x:v>266</x:v>
      </x:c>
      <x:c r="B270" s="12" t="str">
        <x:v>Ed Benedict Park</x:v>
      </x:c>
      <x:c r="C270" s="12" t="str">
        <x:v>Renovate Basketball sport court at Ed Benedict Park</x:v>
      </x:c>
      <x:c r="D270" s="12" t="str">
        <x:v>Basketball Court</x:v>
      </x:c>
      <x:c r="E270" s="12" t="str">
        <x:v>Fix or replace the Nike Resurf surface of the court that is rated 4 through courts' assessment</x:v>
      </x:c>
      <x:c r="F270" s="21" t="n">
        <x:v>200836</x:v>
      </x:c>
      <x:c r="G270" s="7" t="str">
        <x:v>Fields / courts / play</x:v>
      </x:c>
      <x:c r="H270" s="7" t="str">
        <x:v>KGW November 2023 report; estimate dates not supplied</x:v>
      </x:c>
      <x:c r="I270" s="7" t="str">
        <x:v>https://flo.uri.sh/visualisation/15494950/embed</x:v>
      </x:c>
    </x:row>
    <x:row r="271" ht="46" customHeight="1">
      <x:c r="A271" s="8" t="n">
        <x:v>267</x:v>
      </x:c>
      <x:c r="B271" s="11" t="str">
        <x:v>Ed Benedict Park</x:v>
      </x:c>
      <x:c r="C271" s="11" t="str">
        <x:v>ESPC-II_ Ed Benedict Park</x:v>
      </x:c>
      <x:c r="D271" s="11" t="str"/>
      <x:c r="E271" s="11" t="str">
        <x:v>Install a GE control node on each pathway light fixture.  Node for parks with &lt;50 fixtures will be model #ELWM18BXXXXAD.  Node for parks with &gt;50 fixtures will be model #ELWN08BXXXXAD.. FIM Name: 09.17-0112 Building Exterior Lighting Controls</x:v>
      </x:c>
      <x:c r="F271" s="20" t="n">
        <x:v>2930</x:v>
      </x:c>
      <x:c r="G271" s="8" t="str">
        <x:v>Buildings / building systems</x:v>
      </x:c>
      <x:c r="H271" s="8" t="str">
        <x:v>KGW November 2023 report; estimate dates not supplied</x:v>
      </x:c>
      <x:c r="I271" s="8" t="str">
        <x:v>https://flo.uri.sh/visualisation/15494950/embed</x:v>
      </x:c>
    </x:row>
    <x:row r="272" ht="46" customHeight="1">
      <x:c r="A272" s="7" t="n">
        <x:v>268</x:v>
      </x:c>
      <x:c r="B272" s="12" t="str">
        <x:v>Elizabeth Caruthers Park</x:v>
      </x:c>
      <x:c r="C272" s="12" t="str">
        <x:v>ESPC-III_Pathway Lighting to LEDs</x:v>
      </x:c>
      <x:c r="D272" s="12" t="str"/>
      <x:c r="E272" s="12" t="str">
        <x:v>Pathway Lighting Conversion to LEDs and Controls. Aprox: 26 Poles</x:v>
      </x:c>
      <x:c r="F272" s="21" t="n">
        <x:v>91732</x:v>
      </x:c>
      <x:c r="G272" s="7" t="str">
        <x:v>Paths / access / bridges</x:v>
      </x:c>
      <x:c r="H272" s="7" t="str">
        <x:v>KGW November 2023 report; estimate dates not supplied</x:v>
      </x:c>
      <x:c r="I272" s="7" t="str">
        <x:v>https://flo.uri.sh/visualisation/15494950/embed</x:v>
      </x:c>
    </x:row>
    <x:row r="273" ht="46" customHeight="1">
      <x:c r="A273" s="8" t="n">
        <x:v>269</x:v>
      </x:c>
      <x:c r="B273" s="11" t="str">
        <x:v>Essex Park</x:v>
      </x:c>
      <x:c r="C273" s="11" t="str">
        <x:v>Restroom renovation</x:v>
      </x:c>
      <x:c r="D273" s="11" t="str">
        <x:v>Restroom A</x:v>
      </x:c>
      <x:c r="E273" s="11" t="str">
        <x:v>Renovate buildings rated 4 or 5 in building condition assessment</x:v>
      </x:c>
      <x:c r="F273" s="20" t="n">
        <x:v>88320</x:v>
      </x:c>
      <x:c r="G273" s="8" t="str">
        <x:v>Buildings / building systems</x:v>
      </x:c>
      <x:c r="H273" s="8" t="str">
        <x:v>KGW November 2023 report; estimate dates not supplied</x:v>
      </x:c>
      <x:c r="I273" s="8" t="str">
        <x:v>https://flo.uri.sh/visualisation/15494950/embed</x:v>
      </x:c>
    </x:row>
    <x:row r="274" ht="46" customHeight="1">
      <x:c r="A274" s="7" t="n">
        <x:v>270</x:v>
      </x:c>
      <x:c r="B274" s="12" t="str">
        <x:v>Essex Park</x:v>
      </x:c>
      <x:c r="C274" s="12" t="str">
        <x:v>Upgrade Park lights</x:v>
      </x:c>
      <x:c r="D274" s="12" t="str">
        <x:v>Essex Park</x:v>
      </x:c>
      <x:c r="E274" s="12" t="str">
        <x:v>Uppgrade the lights of the park to LED and add new LED light poles</x:v>
      </x:c>
      <x:c r="F274" s="21" t="n">
        <x:v>59967</x:v>
      </x:c>
      <x:c r="G274" s="7" t="str">
        <x:v>Utilities / lighting / drainage</x:v>
      </x:c>
      <x:c r="H274" s="7" t="str">
        <x:v>KGW November 2023 report; estimate dates not supplied</x:v>
      </x:c>
      <x:c r="I274" s="7" t="str">
        <x:v>https://flo.uri.sh/visualisation/15494950/embed</x:v>
      </x:c>
    </x:row>
    <x:row r="275" ht="46" customHeight="1">
      <x:c r="A275" s="8" t="n">
        <x:v>271</x:v>
      </x:c>
      <x:c r="B275" s="11" t="str">
        <x:v>Essex Park</x:v>
      </x:c>
      <x:c r="C275" s="11" t="str">
        <x:v>Essex Tennis Court Restoration</x:v>
      </x:c>
      <x:c r="D275" s="11" t="str">
        <x:v>Essex Park</x:v>
      </x:c>
      <x:c r="E275" s="11" t="str">
        <x:v>Resurfacing, crack repair and fencing upgrades to restore courts.</x:v>
      </x:c>
      <x:c r="F275" s="20" t="n">
        <x:v>28523</x:v>
      </x:c>
      <x:c r="G275" s="8" t="str">
        <x:v>Fields / courts / play</x:v>
      </x:c>
      <x:c r="H275" s="8" t="str">
        <x:v>KGW November 2023 report; estimate dates not supplied</x:v>
      </x:c>
      <x:c r="I275" s="8" t="str">
        <x:v>https://flo.uri.sh/visualisation/15494950/embed</x:v>
      </x:c>
    </x:row>
    <x:row r="276" ht="46" customHeight="1">
      <x:c r="A276" s="7" t="n">
        <x:v>272</x:v>
      </x:c>
      <x:c r="B276" s="12" t="str">
        <x:v>Essex Park</x:v>
      </x:c>
      <x:c r="C276" s="12" t="str">
        <x:v>Playground renovation</x:v>
      </x:c>
      <x:c r="D276" s="12" t="str">
        <x:v>Play Area A</x:v>
      </x:c>
      <x:c r="E276" s="12" t="str">
        <x:v>Renovate playground rated 4 or 5 in condition assessment</x:v>
      </x:c>
      <x:c r="F276" s="21" t="n">
        <x:v>272570</x:v>
      </x:c>
      <x:c r="G276" s="7" t="str">
        <x:v>Fields / courts / play</x:v>
      </x:c>
      <x:c r="H276" s="7" t="str">
        <x:v>KGW November 2023 report; estimate dates not supplied</x:v>
      </x:c>
      <x:c r="I276" s="7" t="str">
        <x:v>https://flo.uri.sh/visualisation/15494950/embed</x:v>
      </x:c>
    </x:row>
    <x:row r="277" ht="46" customHeight="1">
      <x:c r="A277" s="8" t="n">
        <x:v>273</x:v>
      </x:c>
      <x:c r="B277" s="11" t="str">
        <x:v>Essex Park</x:v>
      </x:c>
      <x:c r="C277" s="11" t="str">
        <x:v>Pathway Renovation</x:v>
      </x:c>
      <x:c r="D277" s="11" t="str">
        <x:v>Essex Park</x:v>
      </x:c>
      <x:c r="E277" s="11" t="str">
        <x:v>Replace the damaged pathway, trails and sidewalks that have been rated as 4 and 5 in Pathway assessment</x:v>
      </x:c>
      <x:c r="F277" s="20" t="n">
        <x:v>157741</x:v>
      </x:c>
      <x:c r="G277" s="8" t="str">
        <x:v>Paths / access / bridges</x:v>
      </x:c>
      <x:c r="H277" s="8" t="str">
        <x:v>KGW November 2023 report; estimate dates not supplied</x:v>
      </x:c>
      <x:c r="I277" s="8" t="str">
        <x:v>https://flo.uri.sh/visualisation/15494950/embed</x:v>
      </x:c>
    </x:row>
    <x:row r="278" ht="46" customHeight="1">
      <x:c r="A278" s="7" t="n">
        <x:v>274</x:v>
      </x:c>
      <x:c r="B278" s="12" t="str">
        <x:v>Essex Park</x:v>
      </x:c>
      <x:c r="C278" s="12" t="str">
        <x:v>ESPC-III_Buildings Lighting to LEDs</x:v>
      </x:c>
      <x:c r="D278" s="12" t="str">
        <x:v>Restroom - Storage</x:v>
      </x:c>
      <x:c r="E278" s="12" t="str">
        <x:v>LED conversion for Exterior and Interior Lights</x:v>
      </x:c>
      <x:c r="F278" s="21" t="n">
        <x:v>11760</x:v>
      </x:c>
      <x:c r="G278" s="7" t="str">
        <x:v>Buildings / building systems</x:v>
      </x:c>
      <x:c r="H278" s="7" t="str">
        <x:v>KGW November 2023 report; estimate dates not supplied</x:v>
      </x:c>
      <x:c r="I278" s="7" t="str">
        <x:v>https://flo.uri.sh/visualisation/15494950/embed</x:v>
      </x:c>
    </x:row>
    <x:row r="279" ht="46" customHeight="1">
      <x:c r="A279" s="8" t="n">
        <x:v>275</x:v>
      </x:c>
      <x:c r="B279" s="11" t="str">
        <x:v>Essex Park</x:v>
      </x:c>
      <x:c r="C279" s="11" t="str">
        <x:v>Renovate Basketball sport court at Essex Park</x:v>
      </x:c>
      <x:c r="D279" s="11" t="str">
        <x:v>Basketball Court</x:v>
      </x:c>
      <x:c r="E279" s="11" t="str">
        <x:v>Fix or replace the Nike Resurf surface of the court that is rated 4 through courts' assessment</x:v>
      </x:c>
      <x:c r="F279" s="20" t="n">
        <x:v>106074</x:v>
      </x:c>
      <x:c r="G279" s="8" t="str">
        <x:v>Fields / courts / play</x:v>
      </x:c>
      <x:c r="H279" s="8" t="str">
        <x:v>KGW November 2023 report; estimate dates not supplied</x:v>
      </x:c>
      <x:c r="I279" s="8" t="str">
        <x:v>https://flo.uri.sh/visualisation/15494950/embed</x:v>
      </x:c>
    </x:row>
    <x:row r="280" ht="46" customHeight="1">
      <x:c r="A280" s="7" t="n">
        <x:v>276</x:v>
      </x:c>
      <x:c r="B280" s="12" t="str">
        <x:v>Fanno Creek Natural Area</x:v>
      </x:c>
      <x:c r="C280" s="12" t="str">
        <x:v>Pathway Renovation</x:v>
      </x:c>
      <x:c r="D280" s="12" t="str">
        <x:v>Internal Pathway/ Sidewalk</x:v>
      </x:c>
      <x:c r="E280" s="12" t="str">
        <x:v>Replace the damaged pathway, trails and sidewalks that have been rated as 4 and 5 in Pathway assessment</x:v>
      </x:c>
      <x:c r="F280" s="21" t="n">
        <x:v>21410</x:v>
      </x:c>
      <x:c r="G280" s="7" t="str">
        <x:v>Paths / access / bridges</x:v>
      </x:c>
      <x:c r="H280" s="7" t="str">
        <x:v>KGW November 2023 report; estimate dates not supplied</x:v>
      </x:c>
      <x:c r="I280" s="7" t="str">
        <x:v>https://flo.uri.sh/visualisation/15494950/embed</x:v>
      </x:c>
    </x:row>
    <x:row r="281" ht="46" customHeight="1">
      <x:c r="A281" s="8" t="n">
        <x:v>277</x:v>
      </x:c>
      <x:c r="B281" s="11" t="str">
        <x:v>Fanno Creek Natural Area</x:v>
      </x:c>
      <x:c r="C281" s="11" t="str">
        <x:v>Ecological Restoration_ Fanno Creek Natural Area</x:v>
      </x:c>
      <x:c r="D281" s="11" t="str"/>
      <x:c r="E281" s="11" t="str">
        <x:v>Placholder for Ecological health restoration</x:v>
      </x:c>
      <x:c r="F281" s="20" t="n">
        <x:v>147006</x:v>
      </x:c>
      <x:c r="G281" s="8" t="str">
        <x:v>Other site infrastructure</x:v>
      </x:c>
      <x:c r="H281" s="8" t="str">
        <x:v>KGW November 2023 report; estimate dates not supplied</x:v>
      </x:c>
      <x:c r="I281" s="8" t="str">
        <x:v>https://flo.uri.sh/visualisation/15494950/embed</x:v>
      </x:c>
    </x:row>
    <x:row r="282" ht="46" customHeight="1">
      <x:c r="A282" s="7" t="n">
        <x:v>278</x:v>
      </x:c>
      <x:c r="B282" s="12" t="str">
        <x:v>Farragut Park</x:v>
      </x:c>
      <x:c r="C282" s="12" t="str">
        <x:v>Ballfield Improvements</x:v>
      </x:c>
      <x:c r="D282" s="12" t="str">
        <x:v>Farragut Park</x:v>
      </x:c>
      <x:c r="E282" s="12" t="str">
        <x:v>Replace fencing, backstop, wings.  Level the field (add dirt).</x:v>
      </x:c>
      <x:c r="F282" s="21" t="n">
        <x:v>45374</x:v>
      </x:c>
      <x:c r="G282" s="7" t="str">
        <x:v>Fields / courts / play</x:v>
      </x:c>
      <x:c r="H282" s="7" t="str">
        <x:v>KGW November 2023 report; estimate dates not supplied</x:v>
      </x:c>
      <x:c r="I282" s="7" t="str">
        <x:v>https://flo.uri.sh/visualisation/15494950/embed</x:v>
      </x:c>
    </x:row>
    <x:row r="283" ht="46" customHeight="1">
      <x:c r="A283" s="8" t="n">
        <x:v>279</x:v>
      </x:c>
      <x:c r="B283" s="11" t="str">
        <x:v>Farragut Park</x:v>
      </x:c>
      <x:c r="C283" s="11" t="str">
        <x:v>Pathway Renovation</x:v>
      </x:c>
      <x:c r="D283" s="11" t="str">
        <x:v>Farragut Park</x:v>
      </x:c>
      <x:c r="E283" s="11" t="str">
        <x:v>- Replace the damaged pathway, trails and sidewalks that have been rated as 4 and 5 in Pathway assessment.
- High risk of tripping hazard because of tree root effect on sidewalk.</x:v>
      </x:c>
      <x:c r="F283" s="20" t="n">
        <x:v>371745</x:v>
      </x:c>
      <x:c r="G283" s="8" t="str">
        <x:v>Paths / access / bridges</x:v>
      </x:c>
      <x:c r="H283" s="8" t="str">
        <x:v>KGW November 2023 report; estimate dates not supplied</x:v>
      </x:c>
      <x:c r="I283" s="8" t="str">
        <x:v>https://flo.uri.sh/visualisation/15494950/embed</x:v>
      </x:c>
    </x:row>
    <x:row r="284" ht="46" customHeight="1">
      <x:c r="A284" s="7" t="n">
        <x:v>280</x:v>
      </x:c>
      <x:c r="B284" s="12" t="str">
        <x:v>Farragut Park</x:v>
      </x:c>
      <x:c r="C284" s="12" t="str">
        <x:v>Path Repair and Repaving</x:v>
      </x:c>
      <x:c r="D284" s="12" t="str">
        <x:v>Farragut Park</x:v>
      </x:c>
      <x:c r="E284" s="12" t="str">
        <x:v>- Replace damaged pathway surface
- Create easier access for maintenance vehicles on east and west side of park, widen path that runs east and west, on Kerby from winchell to Watts cross streets, curbline, adding approx 2' to existing path.  Approx 3786 SF.  Replaces CIP 2279, projects were split out by site.</x:v>
      </x:c>
      <x:c r="F284" s="21" t="n">
        <x:v>176407</x:v>
      </x:c>
      <x:c r="G284" s="7" t="str">
        <x:v>Paths / access / bridges</x:v>
      </x:c>
      <x:c r="H284" s="7" t="str">
        <x:v>KGW November 2023 report; estimate dates not supplied</x:v>
      </x:c>
      <x:c r="I284" s="7" t="str">
        <x:v>https://flo.uri.sh/visualisation/15494950/embed</x:v>
      </x:c>
    </x:row>
    <x:row r="285" ht="46" customHeight="1">
      <x:c r="A285" s="8" t="n">
        <x:v>281</x:v>
      </x:c>
      <x:c r="B285" s="11" t="str">
        <x:v>Farragut Park</x:v>
      </x:c>
      <x:c r="C285" s="11" t="str">
        <x:v>Repair Sidewalk near N Kerby Ave and N Farragut st</x:v>
      </x:c>
      <x:c r="D285" s="11" t="str">
        <x:v>Farragut Park</x:v>
      </x:c>
      <x:c r="E285" s="11" t="str">
        <x:v>Replace damaged panels of sidewalk by N Kerby Ave.
Replace heaved section of sidewalk on the south side of Farragut park in the sidewalk that runs parallel to the playground on N Farragut street.</x:v>
      </x:c>
      <x:c r="F285" s="20" t="n">
        <x:v>17990</x:v>
      </x:c>
      <x:c r="G285" s="8" t="str">
        <x:v>Paths / access / bridges</x:v>
      </x:c>
      <x:c r="H285" s="8" t="str">
        <x:v>KGW November 2023 report; estimate dates not supplied</x:v>
      </x:c>
      <x:c r="I285" s="8" t="str">
        <x:v>https://flo.uri.sh/visualisation/15494950/embed</x:v>
      </x:c>
    </x:row>
    <x:row r="286" ht="46" customHeight="1">
      <x:c r="A286" s="7" t="n">
        <x:v>282</x:v>
      </x:c>
      <x:c r="B286" s="12" t="str">
        <x:v>Farragut Park</x:v>
      </x:c>
      <x:c r="C286" s="12" t="str">
        <x:v>ESPC-III_Buildings Lighting to LEDs</x:v>
      </x:c>
      <x:c r="D286" s="12" t="str">
        <x:v>Shelter - Restroom</x:v>
      </x:c>
      <x:c r="E286" s="12" t="str">
        <x:v>LED conversion for Exterior and Interior Lights</x:v>
      </x:c>
      <x:c r="F286" s="21" t="n">
        <x:v>11760</x:v>
      </x:c>
      <x:c r="G286" s="7" t="str">
        <x:v>Buildings / building systems</x:v>
      </x:c>
      <x:c r="H286" s="7" t="str">
        <x:v>KGW November 2023 report; estimate dates not supplied</x:v>
      </x:c>
      <x:c r="I286" s="7" t="str">
        <x:v>https://flo.uri.sh/visualisation/15494950/embed</x:v>
      </x:c>
    </x:row>
    <x:row r="287" ht="46" customHeight="1">
      <x:c r="A287" s="8" t="n">
        <x:v>283</x:v>
      </x:c>
      <x:c r="B287" s="11" t="str">
        <x:v>Farragut Park</x:v>
      </x:c>
      <x:c r="C287" s="11" t="str">
        <x:v>Replace Backflow preventer device</x:v>
      </x:c>
      <x:c r="D287" s="11" t="str">
        <x:v>Property</x:v>
      </x:c>
      <x:c r="E287" s="11" t="str">
        <x:v>- Replace out of compliance backflow preventer
- Assembly: Double Check Valve Assembly (DCVA)
- Premises Isolation (PI): 3" Double Check (DC)+ Vault. Serial # 18649
- Move to property line, if needed
- Hazard: Right Of Way (ROW)</x:v>
      </x:c>
      <x:c r="F287" s="20" t="n">
        <x:v>10000</x:v>
      </x:c>
      <x:c r="G287" s="8" t="str">
        <x:v>Utilities / lighting / drainage</x:v>
      </x:c>
      <x:c r="H287" s="8" t="str">
        <x:v>KGW November 2023 report; estimate dates not supplied</x:v>
      </x:c>
      <x:c r="I287" s="8" t="str">
        <x:v>https://flo.uri.sh/visualisation/15494950/embed</x:v>
      </x:c>
    </x:row>
    <x:row r="288" ht="46" customHeight="1">
      <x:c r="A288" s="7" t="n">
        <x:v>284</x:v>
      </x:c>
      <x:c r="B288" s="12" t="str">
        <x:v>Faubion Elementary School</x:v>
      </x:c>
      <x:c r="C288" s="12" t="str">
        <x:v>Contribution to school sports fields citywide</x:v>
      </x:c>
      <x:c r="D288" s="12" t="str"/>
      <x:c r="E288" s="12" t="str">
        <x:v>Contribution towards turf and irrigation renovation at Faubion school sports field. Replaces CIP 2220, projects were split out by site.</x:v>
      </x:c>
      <x:c r="F288" s="21" t="n">
        <x:v>692709</x:v>
      </x:c>
      <x:c r="G288" s="7" t="str">
        <x:v>Fields / courts / play</x:v>
      </x:c>
      <x:c r="H288" s="7" t="str">
        <x:v>KGW November 2023 report; estimate dates not supplied</x:v>
      </x:c>
      <x:c r="I288" s="7" t="str">
        <x:v>https://flo.uri.sh/visualisation/15494950/embed</x:v>
      </x:c>
    </x:row>
    <x:row r="289" ht="46" customHeight="1">
      <x:c r="A289" s="8" t="n">
        <x:v>285</x:v>
      </x:c>
      <x:c r="B289" s="11" t="str">
        <x:v>Fernhill Park</x:v>
      </x:c>
      <x:c r="C289" s="11" t="str">
        <x:v>Renovate sport field</x:v>
      </x:c>
      <x:c r="D289" s="11" t="str">
        <x:v>Ball Field 1</x:v>
      </x:c>
      <x:c r="E289" s="11" t="str">
        <x:v>Sport fields rated 4 or 5 in condition assessment</x:v>
      </x:c>
      <x:c r="F289" s="20" t="n">
        <x:v>764042</x:v>
      </x:c>
      <x:c r="G289" s="8" t="str">
        <x:v>Fields / courts / play</x:v>
      </x:c>
      <x:c r="H289" s="8" t="str">
        <x:v>KGW November 2023 report; estimate dates not supplied</x:v>
      </x:c>
      <x:c r="I289" s="8" t="str">
        <x:v>https://flo.uri.sh/visualisation/15494950/embed</x:v>
      </x:c>
    </x:row>
    <x:row r="290" ht="46" customHeight="1">
      <x:c r="A290" s="7" t="n">
        <x:v>286</x:v>
      </x:c>
      <x:c r="B290" s="12" t="str">
        <x:v>Fernhill Park</x:v>
      </x:c>
      <x:c r="C290" s="12" t="str">
        <x:v>Tennis Courts: Renovation</x:v>
      </x:c>
      <x:c r="D290" s="12" t="str">
        <x:v>Fernhill Park</x:v>
      </x:c>
      <x:c r="E290" s="12" t="str">
        <x:v>Renovate tennis courts.</x:v>
      </x:c>
      <x:c r="F290" s="21" t="n">
        <x:v>38215</x:v>
      </x:c>
      <x:c r="G290" s="7" t="str">
        <x:v>Fields / courts / play</x:v>
      </x:c>
      <x:c r="H290" s="7" t="str">
        <x:v>KGW November 2023 report; estimate dates not supplied</x:v>
      </x:c>
      <x:c r="I290" s="7" t="str">
        <x:v>https://flo.uri.sh/visualisation/15494950/embed</x:v>
      </x:c>
    </x:row>
    <x:row r="291" ht="46" customHeight="1">
      <x:c r="A291" s="8" t="n">
        <x:v>287</x:v>
      </x:c>
      <x:c r="B291" s="11" t="str">
        <x:v>Fernhill Park</x:v>
      </x:c>
      <x:c r="C291" s="11" t="str">
        <x:v>Fernhill Track Renovation</x:v>
      </x:c>
      <x:c r="D291" s="11" t="str">
        <x:v>Track 1</x:v>
      </x:c>
      <x:c r="E291" s="11" t="str">
        <x:v>Fernhill Park is a BSS 200 surface and was installed 12 to 15 years ago.  This surface is in good condition.  By 2019-2021 a new Top Coat may be needed.</x:v>
      </x:c>
      <x:c r="F291" s="20" t="n">
        <x:v>235117</x:v>
      </x:c>
      <x:c r="G291" s="8" t="str">
        <x:v>Other site infrastructure</x:v>
      </x:c>
      <x:c r="H291" s="8" t="str">
        <x:v>KGW November 2023 report; estimate dates not supplied</x:v>
      </x:c>
      <x:c r="I291" s="8" t="str">
        <x:v>https://flo.uri.sh/visualisation/15494950/embed</x:v>
      </x:c>
    </x:row>
    <x:row r="292" ht="46" customHeight="1">
      <x:c r="A292" s="7" t="n">
        <x:v>288</x:v>
      </x:c>
      <x:c r="B292" s="12" t="str">
        <x:v>Fernhill Park</x:v>
      </x:c>
      <x:c r="C292" s="12" t="str">
        <x:v>Restroom Renovation</x:v>
      </x:c>
      <x:c r="D292" s="12" t="str">
        <x:v>Restroom A</x:v>
      </x:c>
      <x:c r="E292" s="12" t="str">
        <x:v>Renovate buildings rated 4 or 5 in condition assessment</x:v>
      </x:c>
      <x:c r="F292" s="21" t="n">
        <x:v>203775</x:v>
      </x:c>
      <x:c r="G292" s="7" t="str">
        <x:v>Buildings / building systems</x:v>
      </x:c>
      <x:c r="H292" s="7" t="str">
        <x:v>KGW November 2023 report; estimate dates not supplied</x:v>
      </x:c>
      <x:c r="I292" s="7" t="str">
        <x:v>https://flo.uri.sh/visualisation/15494950/embed</x:v>
      </x:c>
    </x:row>
    <x:row r="293" ht="46" customHeight="1">
      <x:c r="A293" s="8" t="n">
        <x:v>289</x:v>
      </x:c>
      <x:c r="B293" s="11" t="str">
        <x:v>Fernhill Park</x:v>
      </x:c>
      <x:c r="C293" s="11" t="str">
        <x:v>ESPC-III_Buildings Lighting to LEDs</x:v>
      </x:c>
      <x:c r="D293" s="11" t="str">
        <x:v>Restroom - Storage</x:v>
      </x:c>
      <x:c r="E293" s="11" t="str">
        <x:v>LED conversion for Exterior and Interior Lights</x:v>
      </x:c>
      <x:c r="F293" s="20" t="n">
        <x:v>11760</x:v>
      </x:c>
      <x:c r="G293" s="8" t="str">
        <x:v>Buildings / building systems</x:v>
      </x:c>
      <x:c r="H293" s="8" t="str">
        <x:v>KGW November 2023 report; estimate dates not supplied</x:v>
      </x:c>
      <x:c r="I293" s="8" t="str">
        <x:v>https://flo.uri.sh/visualisation/15494950/embed</x:v>
      </x:c>
    </x:row>
    <x:row r="294" ht="46" customHeight="1">
      <x:c r="A294" s="7" t="n">
        <x:v>290</x:v>
      </x:c>
      <x:c r="B294" s="12" t="str">
        <x:v>Firehouse Theater</x:v>
      </x:c>
      <x:c r="C294" s="12" t="str">
        <x:v>Replace old HVAC system</x:v>
      </x:c>
      <x:c r="D294" s="12" t="str">
        <x:v>Firehouse Theater</x:v>
      </x:c>
      <x:c r="E294" s="12" t="str">
        <x:v>Placeholder: replace HVAC system that was installed before 2000</x:v>
      </x:c>
      <x:c r="F294" s="21" t="n">
        <x:v>23659</x:v>
      </x:c>
      <x:c r="G294" s="7" t="str">
        <x:v>Buildings / building systems</x:v>
      </x:c>
      <x:c r="H294" s="7" t="str">
        <x:v>KGW November 2023 report; estimate dates not supplied</x:v>
      </x:c>
      <x:c r="I294" s="7" t="str">
        <x:v>https://flo.uri.sh/visualisation/15494950/embed</x:v>
      </x:c>
    </x:row>
    <x:row r="295" ht="46" customHeight="1">
      <x:c r="A295" s="8" t="n">
        <x:v>291</x:v>
      </x:c>
      <x:c r="B295" s="11" t="str">
        <x:v>Firehouse Theater</x:v>
      </x:c>
      <x:c r="C295" s="11" t="str">
        <x:v>Code and General Upgrade</x:v>
      </x:c>
      <x:c r="D295" s="11" t="str">
        <x:v>Firehouse Theater</x:v>
      </x:c>
      <x:c r="E295" s="11" t="str">
        <x:v>Upgrade theater to meet code and refurbish facility; seismic/structural issues (unreinforced masonry)</x:v>
      </x:c>
      <x:c r="F295" s="20" t="n">
        <x:v>1238460</x:v>
      </x:c>
      <x:c r="G295" s="8" t="str">
        <x:v>Buildings / building systems</x:v>
      </x:c>
      <x:c r="H295" s="8" t="str">
        <x:v>KGW November 2023 report; estimate dates not supplied</x:v>
      </x:c>
      <x:c r="I295" s="8" t="str">
        <x:v>https://flo.uri.sh/visualisation/15494950/embed</x:v>
      </x:c>
    </x:row>
    <x:row r="296" ht="46" customHeight="1">
      <x:c r="A296" s="7" t="n">
        <x:v>292</x:v>
      </x:c>
      <x:c r="B296" s="12" t="str">
        <x:v>Flavel Park</x:v>
      </x:c>
      <x:c r="C296" s="12" t="str">
        <x:v>ESPC-III_Pathway Lighting to LEDs</x:v>
      </x:c>
      <x:c r="D296" s="12" t="str"/>
      <x:c r="E296" s="12" t="str">
        <x:v>Pathway Lighting Conversion to LEDs and Controls. Aprox: 1 Poles</x:v>
      </x:c>
      <x:c r="F296" s="21" t="n">
        <x:v>3528</x:v>
      </x:c>
      <x:c r="G296" s="7" t="str">
        <x:v>Paths / access / bridges</x:v>
      </x:c>
      <x:c r="H296" s="7" t="str">
        <x:v>KGW November 2023 report; estimate dates not supplied</x:v>
      </x:c>
      <x:c r="I296" s="7" t="str">
        <x:v>https://flo.uri.sh/visualisation/15494950/embed</x:v>
      </x:c>
    </x:row>
    <x:row r="297" ht="46" customHeight="1">
      <x:c r="A297" s="8" t="n">
        <x:v>293</x:v>
      </x:c>
      <x:c r="B297" s="11" t="str">
        <x:v>Floyd Light Park</x:v>
      </x:c>
      <x:c r="C297" s="11" t="str">
        <x:v>Renovate sport field</x:v>
      </x:c>
      <x:c r="D297" s="11" t="str">
        <x:v>Ball Field 1</x:v>
      </x:c>
      <x:c r="E297" s="11" t="str">
        <x:v>Sport fields rated 4 or 5 in condition assessment</x:v>
      </x:c>
      <x:c r="F297" s="20" t="n">
        <x:v>522609</x:v>
      </x:c>
      <x:c r="G297" s="8" t="str">
        <x:v>Fields / courts / play</x:v>
      </x:c>
      <x:c r="H297" s="8" t="str">
        <x:v>KGW November 2023 report; estimate dates not supplied</x:v>
      </x:c>
      <x:c r="I297" s="8" t="str">
        <x:v>https://flo.uri.sh/visualisation/15494950/embed</x:v>
      </x:c>
    </x:row>
    <x:row r="298" ht="46" customHeight="1">
      <x:c r="A298" s="7" t="n">
        <x:v>294</x:v>
      </x:c>
      <x:c r="B298" s="12" t="str">
        <x:v>Floyd Light Park</x:v>
      </x:c>
      <x:c r="C298" s="12" t="str">
        <x:v>Oasis of Resilience at EPCC</x:v>
      </x:c>
      <x:c r="D298" s="12" t="str">
        <x:v>Floyd Light Park</x:v>
      </x:c>
      <x:c r="E298" s="12" t="str">
        <x:v>The purpose of this request is for the next phase of planning and preliminary design for the microgrid, seismic retrofit to Immediate Occupancy, and other aspects of resilient infrastructure.  This approach could also facilitate SDCs being used as cost-share for possible future FEMA, Portland Clean Energy Fund, and Oregon DoE grants, or Build Portland resources which might cover repair/replacement facets of the project.</x:v>
      </x:c>
      <x:c r="F298" s="21" t="n">
        <x:v>35281</x:v>
      </x:c>
      <x:c r="G298" s="7" t="str">
        <x:v>Buildings / building systems</x:v>
      </x:c>
      <x:c r="H298" s="7" t="str">
        <x:v>KGW November 2023 report; estimate dates not supplied</x:v>
      </x:c>
      <x:c r="I298" s="7" t="str">
        <x:v>https://flo.uri.sh/visualisation/15494950/embed</x:v>
      </x:c>
    </x:row>
    <x:row r="299" ht="46" customHeight="1">
      <x:c r="A299" s="8" t="n">
        <x:v>295</x:v>
      </x:c>
      <x:c r="B299" s="11" t="str">
        <x:v>Floyd Light Park</x:v>
      </x:c>
      <x:c r="C299" s="11" t="str">
        <x:v>ESPC-II_ East Portland Community Center &amp; Pool</x:v>
      </x:c>
      <x:c r="D299" s="11" t="str"/>
      <x:c r="E299" s="11" t="str">
        <x:v>Install a GE control node on each pathway light fixture.  Node for parks with &lt;50 fixtures will be model #ELWM18BXXXXAD.  Node for parks with &gt;50 fixtures will be model #ELWN08BXXXXAD.. FIM Name: 09.17-0104 Building Exterior Lighting Controls</x:v>
      </x:c>
      <x:c r="F299" s="20" t="n">
        <x:v>12450</x:v>
      </x:c>
      <x:c r="G299" s="8" t="str">
        <x:v>Pools / aquatics</x:v>
      </x:c>
      <x:c r="H299" s="8" t="str">
        <x:v>KGW November 2023 report; estimate dates not supplied</x:v>
      </x:c>
      <x:c r="I299" s="8" t="str">
        <x:v>https://flo.uri.sh/visualisation/15494950/embed</x:v>
      </x:c>
    </x:row>
    <x:row r="300" ht="46" customHeight="1">
      <x:c r="A300" s="7" t="n">
        <x:v>296</x:v>
      </x:c>
      <x:c r="B300" s="12" t="str">
        <x:v>Floyd Light Park</x:v>
      </x:c>
      <x:c r="C300" s="12" t="str">
        <x:v>ESPC-III_Buildings Lighting to LEDs</x:v>
      </x:c>
      <x:c r="D300" s="12" t="str">
        <x:v>Community Center &amp; Pool</x:v>
      </x:c>
      <x:c r="E300" s="12" t="str">
        <x:v>LED conversion for Exterior and Interior Lights</x:v>
      </x:c>
      <x:c r="F300" s="21" t="n">
        <x:v>11760</x:v>
      </x:c>
      <x:c r="G300" s="7" t="str">
        <x:v>Pools / aquatics</x:v>
      </x:c>
      <x:c r="H300" s="7" t="str">
        <x:v>KGW November 2023 report; estimate dates not supplied</x:v>
      </x:c>
      <x:c r="I300" s="7" t="str">
        <x:v>https://flo.uri.sh/visualisation/15494950/embed</x:v>
      </x:c>
    </x:row>
    <x:row r="301" ht="46" customHeight="1">
      <x:c r="A301" s="8" t="n">
        <x:v>297</x:v>
      </x:c>
      <x:c r="B301" s="11" t="str">
        <x:v>Floyd Light Park</x:v>
      </x:c>
      <x:c r="C301" s="11" t="str">
        <x:v>Pool shell replaster</x:v>
      </x:c>
      <x:c r="D301" s="11" t="str">
        <x:v>East Portland community center</x:v>
      </x:c>
      <x:c r="E301" s="11" t="str">
        <x:v>This is Recurrence paroject that due every 10. EPCC pool will need to be replastered on or before
2028. See Project phases</x:v>
      </x:c>
      <x:c r="F301" s="20" t="n">
        <x:v>102000</x:v>
      </x:c>
      <x:c r="G301" s="8" t="str">
        <x:v>Pools / aquatics</x:v>
      </x:c>
      <x:c r="H301" s="8" t="str">
        <x:v>KGW November 2023 report; estimate dates not supplied</x:v>
      </x:c>
      <x:c r="I301" s="8" t="str">
        <x:v>https://flo.uri.sh/visualisation/15494950/embed</x:v>
      </x:c>
    </x:row>
    <x:row r="302" ht="46" customHeight="1">
      <x:c r="A302" s="7" t="n">
        <x:v>298</x:v>
      </x:c>
      <x:c r="B302" s="12" t="str">
        <x:v>Floyd Light Park</x:v>
      </x:c>
      <x:c r="C302" s="12" t="str">
        <x:v>Roof repair</x:v>
      </x:c>
      <x:c r="D302" s="12" t="str">
        <x:v>East Portland Community Center &amp; Pool</x:v>
      </x:c>
      <x:c r="E302" s="12" t="str">
        <x:v>Oversee natatorium roof repairs project construction management. Work includes design and construction of pool roof and building envelope repair.</x:v>
      </x:c>
      <x:c r="F302" s="21" t="n">
        <x:v>1223090.15</x:v>
      </x:c>
      <x:c r="G302" s="7" t="str">
        <x:v>Pools / aquatics</x:v>
      </x:c>
      <x:c r="H302" s="7" t="str">
        <x:v>KGW November 2023 report; estimate dates not supplied</x:v>
      </x:c>
      <x:c r="I302" s="7" t="str">
        <x:v>https://flo.uri.sh/visualisation/15494950/embed</x:v>
      </x:c>
    </x:row>
    <x:row r="303" ht="46" customHeight="1">
      <x:c r="A303" s="8" t="n">
        <x:v>299</x:v>
      </x:c>
      <x:c r="B303" s="11" t="str">
        <x:v>Floyd Light Park</x:v>
      </x:c>
      <x:c r="C303" s="11" t="str">
        <x:v>ESPC-II_ East Portland Community Center &amp; Pool</x:v>
      </x:c>
      <x:c r="D303" s="11" t="str"/>
      <x:c r="E303" s="11" t="str">
        <x:v>EPCC - Retro commission all irrigation sprinkler systems and heads to ensure proper thrown and timing. Replace 10% of all rotary and spray heads.. FIM Name: 18.10-0104 Irrigation System Improvements</x:v>
      </x:c>
      <x:c r="F303" s="20" t="n">
        <x:v>1149</x:v>
      </x:c>
      <x:c r="G303" s="8" t="str">
        <x:v>Pools / aquatics</x:v>
      </x:c>
      <x:c r="H303" s="8" t="str">
        <x:v>KGW November 2023 report; estimate dates not supplied</x:v>
      </x:c>
      <x:c r="I303" s="8" t="str">
        <x:v>https://flo.uri.sh/visualisation/15494950/embed</x:v>
      </x:c>
    </x:row>
    <x:row r="304" ht="46" customHeight="1">
      <x:c r="A304" s="7" t="n">
        <x:v>300</x:v>
      </x:c>
      <x:c r="B304" s="12" t="str">
        <x:v>Foley-Balmer Natural Area</x:v>
      </x:c>
      <x:c r="C304" s="12" t="str">
        <x:v>Ecological Restoration_ Foley-Balmer Natural Area</x:v>
      </x:c>
      <x:c r="D304" s="12" t="str"/>
      <x:c r="E304" s="12" t="str">
        <x:v>Placholder for Ecological health restoration
Part of (Marshall park include Jensen and Foley-Balmer) project</x:v>
      </x:c>
      <x:c r="F304" s="21" t="n">
        <x:v>49041</x:v>
      </x:c>
      <x:c r="G304" s="7" t="str">
        <x:v>Other site infrastructure</x:v>
      </x:c>
      <x:c r="H304" s="7" t="str">
        <x:v>KGW November 2023 report; estimate dates not supplied</x:v>
      </x:c>
      <x:c r="I304" s="7" t="str">
        <x:v>https://flo.uri.sh/visualisation/15494950/embed</x:v>
      </x:c>
    </x:row>
    <x:row r="305" ht="46" customHeight="1">
      <x:c r="A305" s="8" t="n">
        <x:v>301</x:v>
      </x:c>
      <x:c r="B305" s="11" t="str">
        <x:v>Forest Heights Park</x:v>
      </x:c>
      <x:c r="C305" s="11" t="str">
        <x:v>ESPC-III_Pathway Lighting to LEDs</x:v>
      </x:c>
      <x:c r="D305" s="11" t="str"/>
      <x:c r="E305" s="11" t="str">
        <x:v>Pathway Lighting Conversion to LEDs and Controls. Aprox: 3 Poles</x:v>
      </x:c>
      <x:c r="F305" s="20" t="n">
        <x:v>10584</x:v>
      </x:c>
      <x:c r="G305" s="8" t="str">
        <x:v>Paths / access / bridges</x:v>
      </x:c>
      <x:c r="H305" s="8" t="str">
        <x:v>KGW November 2023 report; estimate dates not supplied</x:v>
      </x:c>
      <x:c r="I305" s="8" t="str">
        <x:v>https://flo.uri.sh/visualisation/15494950/embed</x:v>
      </x:c>
    </x:row>
    <x:row r="306" ht="46" customHeight="1">
      <x:c r="A306" s="7" t="n">
        <x:v>302</x:v>
      </x:c>
      <x:c r="B306" s="12" t="str">
        <x:v>Forest Park</x:v>
      </x:c>
      <x:c r="C306" s="12" t="str">
        <x:v>Renovate the Roof of Storage building at Adam Garden</x:v>
      </x:c>
      <x:c r="D306" s="12" t="str">
        <x:v>Tool Storage Shed A and maintenace</x:v>
      </x:c>
      <x:c r="E306" s="12" t="str">
        <x:v>Remove abandoned buildings in Adam garden</x:v>
      </x:c>
      <x:c r="F306" s="21" t="n">
        <x:v>64380</x:v>
      </x:c>
      <x:c r="G306" s="7" t="str">
        <x:v>Buildings / building systems</x:v>
      </x:c>
      <x:c r="H306" s="7" t="str">
        <x:v>KGW November 2023 report; estimate dates not supplied</x:v>
      </x:c>
      <x:c r="I306" s="7" t="str">
        <x:v>https://flo.uri.sh/visualisation/15494950/embed</x:v>
      </x:c>
    </x:row>
    <x:row r="307" ht="46" customHeight="1">
      <x:c r="A307" s="8" t="n">
        <x:v>303</x:v>
      </x:c>
      <x:c r="B307" s="11" t="str">
        <x:v>Forest Park</x:v>
      </x:c>
      <x:c r="C307" s="11" t="str">
        <x:v>Witch’s Castle tree log and structure bracing</x:v>
      </x:c>
      <x:c r="D307" s="11" t="str">
        <x:v>Forest Park</x:v>
      </x:c>
      <x:c r="E307" s="11" t="str">
        <x:v>Fallen Tree:
Problem: The log is sitting on one handrail and pushing the other one.
Solution: Cut the log professionally to avoid developing more forces and moments that may affect the handrail
External walls:
Problem: The upper part of the structure is in bad condition and could cause a safety hazard, especially in an earthquake because the external wall is vulnerable to lateral forces. It seems there was a roof that was removed keeping the walls standing alone.
Solution: Decrease the height of the external wall to the level of the steel handrail. This solution needs a half-skilled laborer to remove the stone from the wall one by one from the top using approx. 7.0 Ib hammer</x:v>
      </x:c>
      <x:c r="F307" s="20" t="n">
        <x:v>58802</x:v>
      </x:c>
      <x:c r="G307" s="8" t="str">
        <x:v>Buildings / building systems</x:v>
      </x:c>
      <x:c r="H307" s="8" t="str">
        <x:v>KGW November 2023 report; estimate dates not supplied</x:v>
      </x:c>
      <x:c r="I307" s="8" t="str">
        <x:v>https://flo.uri.sh/visualisation/15494950/embed</x:v>
      </x:c>
    </x:row>
    <x:row r="308" ht="46" customHeight="1">
      <x:c r="A308" s="7" t="n">
        <x:v>304</x:v>
      </x:c>
      <x:c r="B308" s="12" t="str">
        <x:v>Forest Park</x:v>
      </x:c>
      <x:c r="C308" s="12" t="str">
        <x:v>Slide from Cornell to Balch Creek Canyon</x:v>
      </x:c>
      <x:c r="D308" s="12" t="str">
        <x:v>Road</x:v>
      </x:c>
      <x:c r="E308" s="12" t="str">
        <x:v>Forest Park-Lower Macleay-this is a slide from 2018 that ran from Cornell all the way to the bottom of Balch Creek Canyon. Current condition-covered in black plastic and some flex pipe to route water into</x:v>
      </x:c>
      <x:c r="F308" s="21" t="n">
        <x:v>57855</x:v>
      </x:c>
      <x:c r="G308" s="7" t="str">
        <x:v>Utilities / lighting / drainage</x:v>
      </x:c>
      <x:c r="H308" s="7" t="str">
        <x:v>KGW November 2023 report; estimate dates not supplied</x:v>
      </x:c>
      <x:c r="I308" s="7" t="str">
        <x:v>https://flo.uri.sh/visualisation/15494950/embed</x:v>
      </x:c>
    </x:row>
    <x:row r="309" ht="46" customHeight="1">
      <x:c r="A309" s="8" t="n">
        <x:v>305</x:v>
      </x:c>
      <x:c r="B309" s="11" t="str">
        <x:v>Forest Park</x:v>
      </x:c>
      <x:c r="C309" s="11" t="str">
        <x:v>Adams Community Garden Repair</x:v>
      </x:c>
      <x:c r="D309" s="11" t="str">
        <x:v>Adams Community Garden</x:v>
      </x:c>
      <x:c r="E309" s="11" t="str">
        <x:v>Install new dry well and divert seasonal rain runoff to well to avoid yearly damage to garden plots and gravel access road.  Replace aging irrigation system.  Replace garden shed that is at the end of its useful life and old garden sign.</x:v>
      </x:c>
      <x:c r="F309" s="20" t="n">
        <x:v>43956</x:v>
      </x:c>
      <x:c r="G309" s="8" t="str">
        <x:v>Paths / access / bridges</x:v>
      </x:c>
      <x:c r="H309" s="8" t="str">
        <x:v>KGW November 2023 report; estimate dates not supplied</x:v>
      </x:c>
      <x:c r="I309" s="8" t="str">
        <x:v>https://flo.uri.sh/visualisation/15494950/embed</x:v>
      </x:c>
    </x:row>
    <x:row r="310" ht="46" customHeight="1">
      <x:c r="A310" s="7" t="n">
        <x:v>306</x:v>
      </x:c>
      <x:c r="B310" s="12" t="str">
        <x:v>Forest Park</x:v>
      </x:c>
      <x:c r="C310" s="12" t="str">
        <x:v>Repair pedestrian bridge</x:v>
      </x:c>
      <x:c r="D310" s="12" t="str">
        <x:v>Pedestrian bridge- ID FP042</x:v>
      </x:c>
      <x:c r="E310" s="12" t="str">
        <x:v>Renovate Complex and Major bridges that was rated as 4-5 in bridge condition assessment 2021</x:v>
      </x:c>
      <x:c r="F310" s="21" t="n">
        <x:v>40185</x:v>
      </x:c>
      <x:c r="G310" s="7" t="str">
        <x:v>Paths / access / bridges</x:v>
      </x:c>
      <x:c r="H310" s="7" t="str">
        <x:v>KGW November 2023 report; estimate dates not supplied</x:v>
      </x:c>
      <x:c r="I310" s="7" t="str">
        <x:v>https://flo.uri.sh/visualisation/15494950/embed</x:v>
      </x:c>
    </x:row>
    <x:row r="311" ht="46" customHeight="1">
      <x:c r="A311" s="8" t="n">
        <x:v>307</x:v>
      </x:c>
      <x:c r="B311" s="11" t="str">
        <x:v>Forest Park</x:v>
      </x:c>
      <x:c r="C311" s="11" t="str">
        <x:v>Trail bridge replacement MP 29.6</x:v>
      </x:c>
      <x:c r="D311" s="11" t="str">
        <x:v>Forest Park</x:v>
      </x:c>
      <x:c r="E311" s="11" t="str">
        <x:v>Bridge replacement - 28.5' long in 2 spans: first span: 2 stringers are cracked, visible sagging, loose decking, over 40% of decking boards need replaced. Unstable surface that pivots on one stringer when walked on. Large decking surface elevation difference where the two spans meet; 2nd span: one pier block is loose, one damaged and not level, upstream stringer is cracked, no cross-bracing, not level. Bridge likely needs realignment to single span at new location.
Location: Wildwood Trail at milepost 29.6, access from Newberry Rd</x:v>
      </x:c>
      <x:c r="F311" s="20" t="n">
        <x:v>35281</x:v>
      </x:c>
      <x:c r="G311" s="8" t="str">
        <x:v>Paths / access / bridges</x:v>
      </x:c>
      <x:c r="H311" s="8" t="str">
        <x:v>KGW November 2023 report; estimate dates not supplied</x:v>
      </x:c>
      <x:c r="I311" s="8" t="str">
        <x:v>https://flo.uri.sh/visualisation/15494950/embed</x:v>
      </x:c>
    </x:row>
    <x:row r="312" ht="46" customHeight="1">
      <x:c r="A312" s="7" t="n">
        <x:v>308</x:v>
      </x:c>
      <x:c r="B312" s="12" t="str">
        <x:v>Forest Park</x:v>
      </x:c>
      <x:c r="C312" s="12" t="str">
        <x:v>Renovate parking lot_Parking Area I and W</x:v>
      </x:c>
      <x:c r="D312" s="12" t="str">
        <x:v>Parking Area I and W</x:v>
      </x:c>
      <x:c r="E312" s="12" t="str">
        <x:v>Repair parking lot that was rated 5 in condition assessment. Repair include surface, drainage and curb. approx area= 22000 sq.ft</x:v>
      </x:c>
      <x:c r="F312" s="21" t="n">
        <x:v>347132</x:v>
      </x:c>
      <x:c r="G312" s="7" t="str">
        <x:v>Utilities / lighting / drainage</x:v>
      </x:c>
      <x:c r="H312" s="7" t="str">
        <x:v>KGW November 2023 report; estimate dates not supplied</x:v>
      </x:c>
      <x:c r="I312" s="7" t="str">
        <x:v>https://flo.uri.sh/visualisation/15494950/embed</x:v>
      </x:c>
    </x:row>
    <x:row r="313" ht="46" customHeight="1">
      <x:c r="A313" s="8" t="n">
        <x:v>309</x:v>
      </x:c>
      <x:c r="B313" s="11" t="str">
        <x:v>Forest Park</x:v>
      </x:c>
      <x:c r="C313" s="11" t="str">
        <x:v>Repair pedestrian bridge</x:v>
      </x:c>
      <x:c r="D313" s="11" t="str">
        <x:v>Pedestrian bridge- ID FP052</x:v>
      </x:c>
      <x:c r="E313" s="11" t="str">
        <x:v>Renovate Complex and Major bridges that was rated as 4-5 in bridge condition assessment 2021</x:v>
      </x:c>
      <x:c r="F313" s="20" t="n">
        <x:v>32804</x:v>
      </x:c>
      <x:c r="G313" s="8" t="str">
        <x:v>Paths / access / bridges</x:v>
      </x:c>
      <x:c r="H313" s="8" t="str">
        <x:v>KGW November 2023 report; estimate dates not supplied</x:v>
      </x:c>
      <x:c r="I313" s="8" t="str">
        <x:v>https://flo.uri.sh/visualisation/15494950/embed</x:v>
      </x:c>
    </x:row>
    <x:row r="314" ht="46" customHeight="1">
      <x:c r="A314" s="7" t="n">
        <x:v>310</x:v>
      </x:c>
      <x:c r="B314" s="12" t="str">
        <x:v>Forest Park</x:v>
      </x:c>
      <x:c r="C314" s="12" t="str">
        <x:v>Repair pedestrian bridge</x:v>
      </x:c>
      <x:c r="D314" s="12" t="str">
        <x:v>Pedestrian bridge- ID FP046</x:v>
      </x:c>
      <x:c r="E314" s="12" t="str">
        <x:v>Renovate Complex and Major bridges that was rated as 4-5 in bridge condition assessment 2021</x:v>
      </x:c>
      <x:c r="F314" s="21" t="n">
        <x:v>31929</x:v>
      </x:c>
      <x:c r="G314" s="7" t="str">
        <x:v>Paths / access / bridges</x:v>
      </x:c>
      <x:c r="H314" s="7" t="str">
        <x:v>KGW November 2023 report; estimate dates not supplied</x:v>
      </x:c>
      <x:c r="I314" s="7" t="str">
        <x:v>https://flo.uri.sh/visualisation/15494950/embed</x:v>
      </x:c>
    </x:row>
    <x:row r="315" ht="46" customHeight="1">
      <x:c r="A315" s="8" t="n">
        <x:v>311</x:v>
      </x:c>
      <x:c r="B315" s="11" t="str">
        <x:v>Forest Park</x:v>
      </x:c>
      <x:c r="C315" s="11" t="str">
        <x:v>Repair pedestrian bridge</x:v>
      </x:c>
      <x:c r="D315" s="11" t="str">
        <x:v>Pedestrian bridge- ID FP058</x:v>
      </x:c>
      <x:c r="E315" s="11" t="str">
        <x:v>Renovate Complex and Major bridges that was rated as 4-5 in bridge condition assessment 2021</x:v>
      </x:c>
      <x:c r="F315" s="20" t="n">
        <x:v>31492</x:v>
      </x:c>
      <x:c r="G315" s="8" t="str">
        <x:v>Paths / access / bridges</x:v>
      </x:c>
      <x:c r="H315" s="8" t="str">
        <x:v>KGW November 2023 report; estimate dates not supplied</x:v>
      </x:c>
      <x:c r="I315" s="8" t="str">
        <x:v>https://flo.uri.sh/visualisation/15494950/embed</x:v>
      </x:c>
    </x:row>
    <x:row r="316" ht="46" customHeight="1">
      <x:c r="A316" s="7" t="n">
        <x:v>312</x:v>
      </x:c>
      <x:c r="B316" s="12" t="str">
        <x:v>Forest Park</x:v>
      </x:c>
      <x:c r="C316" s="12" t="str">
        <x:v>Pathway Renovation</x:v>
      </x:c>
      <x:c r="D316" s="12" t="str">
        <x:v>Forest Park</x:v>
      </x:c>
      <x:c r="E316" s="12" t="str">
        <x:v>Replace the damaged pathway, trails and sidewalks that have been rated as 4 and 5 in Pathway assessment</x:v>
      </x:c>
      <x:c r="F316" s="21" t="n">
        <x:v>3239628</x:v>
      </x:c>
      <x:c r="G316" s="7" t="str">
        <x:v>Paths / access / bridges</x:v>
      </x:c>
      <x:c r="H316" s="7" t="str">
        <x:v>KGW November 2023 report; estimate dates not supplied</x:v>
      </x:c>
      <x:c r="I316" s="7" t="str">
        <x:v>https://flo.uri.sh/visualisation/15494950/embed</x:v>
      </x:c>
    </x:row>
    <x:row r="317" ht="46" customHeight="1">
      <x:c r="A317" s="8" t="n">
        <x:v>313</x:v>
      </x:c>
      <x:c r="B317" s="11" t="str">
        <x:v>Forest Park</x:v>
      </x:c>
      <x:c r="C317" s="11" t="str">
        <x:v>Repair pedestrian bridge</x:v>
      </x:c>
      <x:c r="D317" s="11" t="str">
        <x:v>Pedestrian bridge- ID FP056</x:v>
      </x:c>
      <x:c r="E317" s="11" t="str">
        <x:v>Renovate Complex and Major bridges that was rated as 4-5 in bridge condition assessment 2021</x:v>
      </x:c>
      <x:c r="F317" s="20" t="n">
        <x:v>27993</x:v>
      </x:c>
      <x:c r="G317" s="8" t="str">
        <x:v>Paths / access / bridges</x:v>
      </x:c>
      <x:c r="H317" s="8" t="str">
        <x:v>KGW November 2023 report; estimate dates not supplied</x:v>
      </x:c>
      <x:c r="I317" s="8" t="str">
        <x:v>https://flo.uri.sh/visualisation/15494950/embed</x:v>
      </x:c>
    </x:row>
    <x:row r="318" ht="46" customHeight="1">
      <x:c r="A318" s="7" t="n">
        <x:v>314</x:v>
      </x:c>
      <x:c r="B318" s="12" t="str">
        <x:v>Forest Park</x:v>
      </x:c>
      <x:c r="C318" s="12" t="str">
        <x:v>Repair pedestrian bridge</x:v>
      </x:c>
      <x:c r="D318" s="12" t="str">
        <x:v>Pedestrian bridge- ID FP023</x:v>
      </x:c>
      <x:c r="E318" s="12" t="str">
        <x:v>Renovate Complex and Major bridges that was rated as 4-5 in bridge condition assessment 2021</x:v>
      </x:c>
      <x:c r="F318" s="21" t="n">
        <x:v>26681</x:v>
      </x:c>
      <x:c r="G318" s="7" t="str">
        <x:v>Paths / access / bridges</x:v>
      </x:c>
      <x:c r="H318" s="7" t="str">
        <x:v>KGW November 2023 report; estimate dates not supplied</x:v>
      </x:c>
      <x:c r="I318" s="7" t="str">
        <x:v>https://flo.uri.sh/visualisation/15494950/embed</x:v>
      </x:c>
    </x:row>
    <x:row r="319" ht="46" customHeight="1">
      <x:c r="A319" s="8" t="n">
        <x:v>315</x:v>
      </x:c>
      <x:c r="B319" s="11" t="str">
        <x:v>Forest Park</x:v>
      </x:c>
      <x:c r="C319" s="11" t="str">
        <x:v>Replace creosote treated logs</x:v>
      </x:c>
      <x:c r="D319" s="11" t="str">
        <x:v>Forest Park</x:v>
      </x:c>
      <x:c r="E319" s="11" t="str">
        <x:v>There are 13 creosote treated logs lining the east end of the road bordering Forest Park, Birch trailhead. We would like these removed and possibly replaced with something similar to prevent people from parking on the grass. The current logs are deteriorating and falling off the rebar that attaches them. Some have shifted onto the fog line. They also reek of chemical in the summer when the heat beats down on them and have gotten many complaints about the smell. Center code 9PKCN0007100</x:v>
      </x:c>
      <x:c r="F319" s="20" t="n">
        <x:v>23987</x:v>
      </x:c>
      <x:c r="G319" s="8" t="str">
        <x:v>Paths / access / bridges</x:v>
      </x:c>
      <x:c r="H319" s="8" t="str">
        <x:v>KGW November 2023 report; estimate dates not supplied</x:v>
      </x:c>
      <x:c r="I319" s="8" t="str">
        <x:v>https://flo.uri.sh/visualisation/15494950/embed</x:v>
      </x:c>
    </x:row>
    <x:row r="320" ht="46" customHeight="1">
      <x:c r="A320" s="7" t="n">
        <x:v>316</x:v>
      </x:c>
      <x:c r="B320" s="12" t="str">
        <x:v>Forest Park</x:v>
      </x:c>
      <x:c r="C320" s="12" t="str">
        <x:v>Renovate parking lot_Parking Area M</x:v>
      </x:c>
      <x:c r="D320" s="12" t="str">
        <x:v>Parking Area M</x:v>
      </x:c>
      <x:c r="E320" s="12" t="str">
        <x:v>Repair parking lot that was rated 5 in condition assessment. Repair include surface, drainage and curb. approx area= 36491 sq.ft</x:v>
      </x:c>
      <x:c r="F320" s="21" t="n">
        <x:v>206895</x:v>
      </x:c>
      <x:c r="G320" s="7" t="str">
        <x:v>Utilities / lighting / drainage</x:v>
      </x:c>
      <x:c r="H320" s="7" t="str">
        <x:v>KGW November 2023 report; estimate dates not supplied</x:v>
      </x:c>
      <x:c r="I320" s="7" t="str">
        <x:v>https://flo.uri.sh/visualisation/15494950/embed</x:v>
      </x:c>
    </x:row>
    <x:row r="321" ht="46" customHeight="1">
      <x:c r="A321" s="8" t="n">
        <x:v>317</x:v>
      </x:c>
      <x:c r="B321" s="11" t="str">
        <x:v>Forest Park</x:v>
      </x:c>
      <x:c r="C321" s="11" t="str">
        <x:v>Repair pedestrian bridge</x:v>
      </x:c>
      <x:c r="D321" s="11" t="str">
        <x:v>Pedestrian bridge- ID FP021</x:v>
      </x:c>
      <x:c r="E321" s="11" t="str">
        <x:v>Renovate Complex and Major bridges that was rated as 4-5 in bridge condition assessment 2021</x:v>
      </x:c>
      <x:c r="F321" s="20" t="n">
        <x:v>20502</x:v>
      </x:c>
      <x:c r="G321" s="8" t="str">
        <x:v>Paths / access / bridges</x:v>
      </x:c>
      <x:c r="H321" s="8" t="str">
        <x:v>KGW November 2023 report; estimate dates not supplied</x:v>
      </x:c>
      <x:c r="I321" s="8" t="str">
        <x:v>https://flo.uri.sh/visualisation/15494950/embed</x:v>
      </x:c>
    </x:row>
    <x:row r="322" ht="46" customHeight="1">
      <x:c r="A322" s="7" t="n">
        <x:v>318</x:v>
      </x:c>
      <x:c r="B322" s="12" t="str">
        <x:v>Forest Park</x:v>
      </x:c>
      <x:c r="C322" s="12" t="str">
        <x:v>Forest Park Habitat Restoration</x:v>
      </x:c>
      <x:c r="D322" s="12" t="str"/>
      <x:c r="E322" s="12" t="str">
        <x:v>Regional facility; Metro has previous investments in FP
Metro allocation: Land Acq &amp; FW Hab Res</x:v>
      </x:c>
      <x:c r="F322" s="21" t="n">
        <x:v>2892766</x:v>
      </x:c>
      <x:c r="G322" s="7" t="str">
        <x:v>Other site infrastructure</x:v>
      </x:c>
      <x:c r="H322" s="7" t="str">
        <x:v>KGW November 2023 report; estimate dates not supplied</x:v>
      </x:c>
      <x:c r="I322" s="7" t="str">
        <x:v>https://flo.uri.sh/visualisation/15494950/embed</x:v>
      </x:c>
    </x:row>
    <x:row r="323" ht="46" customHeight="1">
      <x:c r="A323" s="8" t="n">
        <x:v>319</x:v>
      </x:c>
      <x:c r="B323" s="11" t="str">
        <x:v>Forest Park</x:v>
      </x:c>
      <x:c r="C323" s="11" t="str">
        <x:v>Renovate Storage building and shed</x:v>
      </x:c>
      <x:c r="D323" s="11" t="str">
        <x:v>Storage A,B,C and Shed C</x:v>
      </x:c>
      <x:c r="E323" s="11" t="str">
        <x:v>Fix or replace the Roof that is rated 5 through buildings' assessment</x:v>
      </x:c>
      <x:c r="F323" s="20" t="n">
        <x:v>2398662</x:v>
      </x:c>
      <x:c r="G323" s="8" t="str">
        <x:v>Buildings / building systems</x:v>
      </x:c>
      <x:c r="H323" s="8" t="str">
        <x:v>KGW November 2023 report; estimate dates not supplied</x:v>
      </x:c>
      <x:c r="I323" s="8" t="str">
        <x:v>https://flo.uri.sh/visualisation/15494950/embed</x:v>
      </x:c>
    </x:row>
    <x:row r="324" ht="46" customHeight="1">
      <x:c r="A324" s="7" t="n">
        <x:v>320</x:v>
      </x:c>
      <x:c r="B324" s="12" t="str">
        <x:v>Forest Park</x:v>
      </x:c>
      <x:c r="C324" s="12" t="str">
        <x:v>Renovate parking lot_Parking Area G</x:v>
      </x:c>
      <x:c r="D324" s="12" t="str">
        <x:v>Parking Area G</x:v>
      </x:c>
      <x:c r="E324" s="12" t="str">
        <x:v>Repair parking lot that was rated 4 in condition assessment. Repair include surface, drainage and curb. approx area= 29459 sq.ft</x:v>
      </x:c>
      <x:c r="F324" s="21" t="n">
        <x:v>194810</x:v>
      </x:c>
      <x:c r="G324" s="7" t="str">
        <x:v>Utilities / lighting / drainage</x:v>
      </x:c>
      <x:c r="H324" s="7" t="str">
        <x:v>KGW November 2023 report; estimate dates not supplied</x:v>
      </x:c>
      <x:c r="I324" s="7" t="str">
        <x:v>https://flo.uri.sh/visualisation/15494950/embed</x:v>
      </x:c>
    </x:row>
    <x:row r="325" ht="46" customHeight="1">
      <x:c r="A325" s="8" t="n">
        <x:v>321</x:v>
      </x:c>
      <x:c r="B325" s="11" t="str">
        <x:v>Forest Park</x:v>
      </x:c>
      <x:c r="C325" s="11" t="str">
        <x:v>Trail bridge replacement MP 16.25</x:v>
      </x:c>
      <x:c r="D325" s="11" t="str">
        <x:v>Forest Park</x:v>
      </x:c>
      <x:c r="E325" s="11" t="str">
        <x:v>Replace unsafe trail bridge on Wildwood Trail mile 16.25</x:v>
      </x:c>
      <x:c r="F325" s="20" t="n">
        <x:v>178106</x:v>
      </x:c>
      <x:c r="G325" s="8" t="str">
        <x:v>Paths / access / bridges</x:v>
      </x:c>
      <x:c r="H325" s="8" t="str">
        <x:v>KGW November 2023 report; estimate dates not supplied</x:v>
      </x:c>
      <x:c r="I325" s="8" t="str">
        <x:v>https://flo.uri.sh/visualisation/15494950/embed</x:v>
      </x:c>
    </x:row>
    <x:row r="326" ht="46" customHeight="1">
      <x:c r="A326" s="7" t="n">
        <x:v>322</x:v>
      </x:c>
      <x:c r="B326" s="12" t="str">
        <x:v>Forest Park</x:v>
      </x:c>
      <x:c r="C326" s="12" t="str">
        <x:v>Renovate parking lot_Parking Area AB</x:v>
      </x:c>
      <x:c r="D326" s="12" t="str">
        <x:v>Parking Area AB</x:v>
      </x:c>
      <x:c r="E326" s="12" t="str">
        <x:v>Repair parking lot that was rated 4 in condition assessment. Repair include surface, drainage and curb. approx area= 4988 sq.ft</x:v>
      </x:c>
      <x:c r="F326" s="21" t="n">
        <x:v>16968</x:v>
      </x:c>
      <x:c r="G326" s="7" t="str">
        <x:v>Utilities / lighting / drainage</x:v>
      </x:c>
      <x:c r="H326" s="7" t="str">
        <x:v>KGW November 2023 report; estimate dates not supplied</x:v>
      </x:c>
      <x:c r="I326" s="7" t="str">
        <x:v>https://flo.uri.sh/visualisation/15494950/embed</x:v>
      </x:c>
    </x:row>
    <x:row r="327" ht="46" customHeight="1">
      <x:c r="A327" s="8" t="n">
        <x:v>323</x:v>
      </x:c>
      <x:c r="B327" s="11" t="str">
        <x:v>Forest Park</x:v>
      </x:c>
      <x:c r="C327" s="11" t="str">
        <x:v>Ecological Restoration_ Forest Park</x:v>
      </x:c>
      <x:c r="D327" s="11" t="str"/>
      <x:c r="E327" s="11" t="str">
        <x:v>Placholder for Ecological health restoration
Location: Forest Park south</x:v>
      </x:c>
      <x:c r="F327" s="20" t="n">
        <x:v>147006</x:v>
      </x:c>
      <x:c r="G327" s="8" t="str">
        <x:v>Other site infrastructure</x:v>
      </x:c>
      <x:c r="H327" s="8" t="str">
        <x:v>KGW November 2023 report; estimate dates not supplied</x:v>
      </x:c>
      <x:c r="I327" s="8" t="str">
        <x:v>https://flo.uri.sh/visualisation/15494950/embed</x:v>
      </x:c>
    </x:row>
    <x:row r="328" ht="46" customHeight="1">
      <x:c r="A328" s="7" t="n">
        <x:v>324</x:v>
      </x:c>
      <x:c r="B328" s="12" t="str">
        <x:v>Forest Park</x:v>
      </x:c>
      <x:c r="C328" s="12" t="str">
        <x:v>Trail bridge replacement MP 15.2</x:v>
      </x:c>
      <x:c r="D328" s="12" t="str">
        <x:v>Forest Park</x:v>
      </x:c>
      <x:c r="E328" s="12" t="str">
        <x:v>Bridge needs replacing: 25 ft span, with &gt;6ft fall hazard; decking is unstable, breaking, and rotting; creosote posts off-kilter and undercut; posts shimmed with shingles on concrete pads; erosion on downhill side. 
Location: Wildwood Trail bridge at mp 15.2, near Cleator trail, south of Saltzman Road.</x:v>
      </x:c>
      <x:c r="F328" s="21" t="n">
        <x:v>11760</x:v>
      </x:c>
      <x:c r="G328" s="7" t="str">
        <x:v>Paths / access / bridges</x:v>
      </x:c>
      <x:c r="H328" s="7" t="str">
        <x:v>KGW November 2023 report; estimate dates not supplied</x:v>
      </x:c>
      <x:c r="I328" s="7" t="str">
        <x:v>https://flo.uri.sh/visualisation/15494950/embed</x:v>
      </x:c>
    </x:row>
    <x:row r="329" ht="46" customHeight="1">
      <x:c r="A329" s="8" t="n">
        <x:v>325</x:v>
      </x:c>
      <x:c r="B329" s="11" t="str">
        <x:v>Forest Park</x:v>
      </x:c>
      <x:c r="C329" s="11" t="str">
        <x:v>Remove abandoned building</x:v>
      </x:c>
      <x:c r="D329" s="11" t="str">
        <x:v>Trolley utility building</x:v>
      </x:c>
      <x:c r="E329" s="11" t="str">
        <x:v>Demolish and remove old (abandoned) trolley building</x:v>
      </x:c>
      <x:c r="F329" s="20" t="n">
        <x:v>100000</x:v>
      </x:c>
      <x:c r="G329" s="8" t="str">
        <x:v>Buildings / building systems</x:v>
      </x:c>
      <x:c r="H329" s="8" t="str">
        <x:v>KGW November 2023 report; estimate dates not supplied</x:v>
      </x:c>
      <x:c r="I329" s="8" t="str">
        <x:v>https://flo.uri.sh/visualisation/15494950/embed</x:v>
      </x:c>
    </x:row>
    <x:row r="330" ht="46" customHeight="1">
      <x:c r="A330" s="7" t="n">
        <x:v>326</x:v>
      </x:c>
      <x:c r="B330" s="12" t="str">
        <x:v>Frazer Park</x:v>
      </x:c>
      <x:c r="C330" s="12" t="str">
        <x:v>Renovate parking lot_Parking Area A</x:v>
      </x:c>
      <x:c r="D330" s="12" t="str">
        <x:v>Parking Area A</x:v>
      </x:c>
      <x:c r="E330" s="12" t="str">
        <x:v>Repair parking lot that was rated 5 in condition assessment. Repair include surface, drainage and curb. approx area= 5103 sq.ft</x:v>
      </x:c>
      <x:c r="F330" s="21" t="n">
        <x:v>139109</x:v>
      </x:c>
      <x:c r="G330" s="7" t="str">
        <x:v>Utilities / lighting / drainage</x:v>
      </x:c>
      <x:c r="H330" s="7" t="str">
        <x:v>KGW November 2023 report; estimate dates not supplied</x:v>
      </x:c>
      <x:c r="I330" s="7" t="str">
        <x:v>https://flo.uri.sh/visualisation/15494950/embed</x:v>
      </x:c>
    </x:row>
    <x:row r="331" ht="46" customHeight="1">
      <x:c r="A331" s="8" t="n">
        <x:v>327</x:v>
      </x:c>
      <x:c r="B331" s="11" t="str">
        <x:v>Frazer Park</x:v>
      </x:c>
      <x:c r="C331" s="11" t="str">
        <x:v>Playground renovation</x:v>
      </x:c>
      <x:c r="D331" s="11" t="str">
        <x:v>Play Area A</x:v>
      </x:c>
      <x:c r="E331" s="11" t="str">
        <x:v>Renovation or repair playground that was rated as 4
 during playground assessment in 2020</x:v>
      </x:c>
      <x:c r="F331" s="20" t="n">
        <x:v>118514</x:v>
      </x:c>
      <x:c r="G331" s="8" t="str">
        <x:v>Fields / courts / play</x:v>
      </x:c>
      <x:c r="H331" s="8" t="str">
        <x:v>KGW November 2023 report; estimate dates not supplied</x:v>
      </x:c>
      <x:c r="I331" s="8" t="str">
        <x:v>https://flo.uri.sh/visualisation/15494950/embed</x:v>
      </x:c>
    </x:row>
    <x:row r="332" ht="46" customHeight="1">
      <x:c r="A332" s="7" t="n">
        <x:v>328</x:v>
      </x:c>
      <x:c r="B332" s="12" t="str">
        <x:v>Frazer Park</x:v>
      </x:c>
      <x:c r="C332" s="12" t="str">
        <x:v>Renovate Basketball sport court at Frazer Park</x:v>
      </x:c>
      <x:c r="D332" s="12" t="str">
        <x:v>Basketball Court</x:v>
      </x:c>
      <x:c r="E332" s="12" t="str">
        <x:v>Fix or replace the Cement surface of the court that is rated 4 through courts' assessment</x:v>
      </x:c>
      <x:c r="F332" s="21" t="n">
        <x:v>102825</x:v>
      </x:c>
      <x:c r="G332" s="7" t="str">
        <x:v>Fields / courts / play</x:v>
      </x:c>
      <x:c r="H332" s="7" t="str">
        <x:v>KGW November 2023 report; estimate dates not supplied</x:v>
      </x:c>
      <x:c r="I332" s="7" t="str">
        <x:v>https://flo.uri.sh/visualisation/15494950/embed</x:v>
      </x:c>
    </x:row>
    <x:row r="333" ht="46" customHeight="1">
      <x:c r="A333" s="8" t="n">
        <x:v>329</x:v>
      </x:c>
      <x:c r="B333" s="11" t="str">
        <x:v>Front and Curry Community Garden</x:v>
      </x:c>
      <x:c r="C333" s="11" t="str">
        <x:v>Renovate the Structure of Storage building</x:v>
      </x:c>
      <x:c r="D333" s="11" t="str">
        <x:v>Garage</x:v>
      </x:c>
      <x:c r="E333" s="11" t="str">
        <x:v>Fix or replace the Structure that is rated 4 through buildings' assessment</x:v>
      </x:c>
      <x:c r="F333" s="20" t="n">
        <x:v>199281</x:v>
      </x:c>
      <x:c r="G333" s="8" t="str">
        <x:v>Buildings / building systems</x:v>
      </x:c>
      <x:c r="H333" s="8" t="str">
        <x:v>KGW November 2023 report; estimate dates not supplied</x:v>
      </x:c>
      <x:c r="I333" s="8" t="str">
        <x:v>https://flo.uri.sh/visualisation/15494950/embed</x:v>
      </x:c>
    </x:row>
    <x:row r="334" ht="46" customHeight="1">
      <x:c r="A334" s="7" t="n">
        <x:v>330</x:v>
      </x:c>
      <x:c r="B334" s="12" t="str">
        <x:v>Fulton Park</x:v>
      </x:c>
      <x:c r="C334" s="12" t="str">
        <x:v>Renovate basketball court</x:v>
      </x:c>
      <x:c r="D334" s="12" t="str">
        <x:v>Fulton Park</x:v>
      </x:c>
      <x:c r="E334" s="12" t="str">
        <x:v>Level the basketball court.  Replaces CIP 1957, projects were split out.</x:v>
      </x:c>
      <x:c r="F334" s="21" t="n">
        <x:v>93233</x:v>
      </x:c>
      <x:c r="G334" s="7" t="str">
        <x:v>Fields / courts / play</x:v>
      </x:c>
      <x:c r="H334" s="7" t="str">
        <x:v>KGW November 2023 report; estimate dates not supplied</x:v>
      </x:c>
      <x:c r="I334" s="7" t="str">
        <x:v>https://flo.uri.sh/visualisation/15494950/embed</x:v>
      </x:c>
    </x:row>
    <x:row r="335" ht="46" customHeight="1">
      <x:c r="A335" s="8" t="n">
        <x:v>331</x:v>
      </x:c>
      <x:c r="B335" s="11" t="str">
        <x:v>Fulton Park</x:v>
      </x:c>
      <x:c r="C335" s="11" t="str">
        <x:v>Parking Lot Paving</x:v>
      </x:c>
      <x:c r="D335" s="11" t="str">
        <x:v>Fulton Park</x:v>
      </x:c>
      <x:c r="E335" s="11" t="str">
        <x:v>- Overlay 2" of asphalt on deteriorating play area / 3” of asphalt over gravel parking lot.
- Improve access to the community garden.  Replaces CIP 1957, projects were split out.
-Pave the lot and driveway that are currently gravel at Fulton Park, approx 10674SF.  May require stormwater treatment facilities.  Replaces Cip 2280, projects were split out by site.
Pave and line parking lot; fix drainage on parking lot, pave path and sport court.</x:v>
      </x:c>
      <x:c r="F335" s="20" t="n">
        <x:v>84352</x:v>
      </x:c>
      <x:c r="G335" s="8" t="str">
        <x:v>Paths / access / bridges</x:v>
      </x:c>
      <x:c r="H335" s="8" t="str">
        <x:v>KGW November 2023 report; estimate dates not supplied</x:v>
      </x:c>
      <x:c r="I335" s="8" t="str">
        <x:v>https://flo.uri.sh/visualisation/15494950/embed</x:v>
      </x:c>
    </x:row>
    <x:row r="336" ht="46" customHeight="1">
      <x:c r="A336" s="7" t="n">
        <x:v>332</x:v>
      </x:c>
      <x:c r="B336" s="12" t="str">
        <x:v>Fulton Park</x:v>
      </x:c>
      <x:c r="C336" s="12" t="str">
        <x:v>Renovation of Play Area and Equipment</x:v>
      </x:c>
      <x:c r="D336" s="12" t="str">
        <x:v>Fulton Park</x:v>
      </x:c>
      <x:c r="E336" s="12" t="str">
        <x:v>Scope of work and problems:
- Repair/replacement Playground surface and drainage. In summer heat the goo of mud and fibers will become like reinforced concrete.
- Improved ADA access, proper footprint sizing. ADA mods v. expensive and eqpt v. old - replace &amp; add ADA pkg.</x:v>
      </x:c>
      <x:c r="F336" s="21" t="n">
        <x:v>475259</x:v>
      </x:c>
      <x:c r="G336" s="7" t="str">
        <x:v>Paths / access / bridges</x:v>
      </x:c>
      <x:c r="H336" s="7" t="str">
        <x:v>KGW November 2023 report; estimate dates not supplied</x:v>
      </x:c>
      <x:c r="I336" s="7" t="str">
        <x:v>https://flo.uri.sh/visualisation/15494950/embed</x:v>
      </x:c>
    </x:row>
    <x:row r="337" ht="46" customHeight="1">
      <x:c r="A337" s="8" t="n">
        <x:v>333</x:v>
      </x:c>
      <x:c r="B337" s="11" t="str">
        <x:v>Fulton Park</x:v>
      </x:c>
      <x:c r="C337" s="11" t="str">
        <x:v>Replace old HVAC system</x:v>
      </x:c>
      <x:c r="D337" s="11" t="str">
        <x:v>Fulton Park Community Center</x:v>
      </x:c>
      <x:c r="E337" s="11" t="str">
        <x:v>Placeholder: replace HVAC system that was installed before 2000</x:v>
      </x:c>
      <x:c r="F337" s="20" t="n">
        <x:v>154309</x:v>
      </x:c>
      <x:c r="G337" s="8" t="str">
        <x:v>Buildings / building systems</x:v>
      </x:c>
      <x:c r="H337" s="8" t="str">
        <x:v>KGW November 2023 report; estimate dates not supplied</x:v>
      </x:c>
      <x:c r="I337" s="8" t="str">
        <x:v>https://flo.uri.sh/visualisation/15494950/embed</x:v>
      </x:c>
    </x:row>
    <x:row r="338" ht="46" customHeight="1">
      <x:c r="A338" s="7" t="n">
        <x:v>334</x:v>
      </x:c>
      <x:c r="B338" s="12" t="str">
        <x:v>Fulton Park</x:v>
      </x:c>
      <x:c r="C338" s="12" t="str">
        <x:v>ESPC-III_Buildings Lighting to LEDs</x:v>
      </x:c>
      <x:c r="D338" s="12" t="str">
        <x:v>Storage</x:v>
      </x:c>
      <x:c r="E338" s="12" t="str">
        <x:v>LED conversion for Exterior and Interior Lights</x:v>
      </x:c>
      <x:c r="F338" s="21" t="n">
        <x:v>11760</x:v>
      </x:c>
      <x:c r="G338" s="7" t="str">
        <x:v>Buildings / building systems</x:v>
      </x:c>
      <x:c r="H338" s="7" t="str">
        <x:v>KGW November 2023 report; estimate dates not supplied</x:v>
      </x:c>
      <x:c r="I338" s="7" t="str">
        <x:v>https://flo.uri.sh/visualisation/15494950/embed</x:v>
      </x:c>
    </x:row>
    <x:row r="339" ht="46" customHeight="1">
      <x:c r="A339" s="8" t="n">
        <x:v>335</x:v>
      </x:c>
      <x:c r="B339" s="11" t="str">
        <x:v>Gabriel Park</x:v>
      </x:c>
      <x:c r="C339" s="11" t="str">
        <x:v>Renovate parking lot_Parking Area E</x:v>
      </x:c>
      <x:c r="D339" s="11" t="str">
        <x:v>Parking Area E</x:v>
      </x:c>
      <x:c r="E339" s="11" t="str">
        <x:v>Repair parking lot that was rated 5 in condition assessment. Repair include surface, drainage and curb. approx area= 35893 sq.ft</x:v>
      </x:c>
      <x:c r="F339" s="20" t="n">
        <x:v>978500</x:v>
      </x:c>
      <x:c r="G339" s="8" t="str">
        <x:v>Utilities / lighting / drainage</x:v>
      </x:c>
      <x:c r="H339" s="8" t="str">
        <x:v>KGW November 2023 report; estimate dates not supplied</x:v>
      </x:c>
      <x:c r="I339" s="8" t="str">
        <x:v>https://flo.uri.sh/visualisation/15494950/embed</x:v>
      </x:c>
    </x:row>
    <x:row r="340" ht="46" customHeight="1">
      <x:c r="A340" s="7" t="n">
        <x:v>336</x:v>
      </x:c>
      <x:c r="B340" s="12" t="str">
        <x:v>Gabriel Park</x:v>
      </x:c>
      <x:c r="C340" s="12" t="str">
        <x:v>Repair and Expand Gabriel Community Garden</x:v>
      </x:c>
      <x:c r="D340" s="12" t="str">
        <x:v>Gabriel Community Garden &amp; Orchard</x:v>
      </x:c>
      <x:c r="E340" s="12" t="str">
        <x:v>Repair failing assets and expand garden.  Existing fence should be removed and replaced with new fence.  Convert 6,000 SF turf area to garden beds to offset 4,800 SF of beds taken out of service due to shade.  New garden beds installed will meet ADA standards and serve an aging population of current gardeners.  Remove existing irrigation system and replace with new system.  Add additional parking to accomodate garden and DOLA users.</x:v>
      </x:c>
      <x:c r="F340" s="21" t="n">
        <x:v>95789</x:v>
      </x:c>
      <x:c r="G340" s="7" t="str">
        <x:v>Paths / access / bridges</x:v>
      </x:c>
      <x:c r="H340" s="7" t="str">
        <x:v>KGW November 2023 report; estimate dates not supplied</x:v>
      </x:c>
      <x:c r="I340" s="7" t="str">
        <x:v>https://flo.uri.sh/visualisation/15494950/embed</x:v>
      </x:c>
    </x:row>
    <x:row r="341" ht="46" customHeight="1">
      <x:c r="A341" s="8" t="n">
        <x:v>337</x:v>
      </x:c>
      <x:c r="B341" s="11" t="str">
        <x:v>Gabriel Park</x:v>
      </x:c>
      <x:c r="C341" s="11" t="str">
        <x:v>New crew headquarters</x:v>
      </x:c>
      <x:c r="D341" s="11" t="str">
        <x:v>Gabriel Park</x:v>
      </x:c>
      <x:c r="E341" s="11" t="str">
        <x:v>Build new 40’ x 120’ HQ with crew room, office, 2 restrooms (ADA) and secure vehicle storage.</x:v>
      </x:c>
      <x:c r="F341" s="20" t="n">
        <x:v>77404</x:v>
      </x:c>
      <x:c r="G341" s="8" t="str">
        <x:v>Paths / access / bridges</x:v>
      </x:c>
      <x:c r="H341" s="8" t="str">
        <x:v>KGW November 2023 report; estimate dates not supplied</x:v>
      </x:c>
      <x:c r="I341" s="8" t="str">
        <x:v>https://flo.uri.sh/visualisation/15494950/embed</x:v>
      </x:c>
    </x:row>
    <x:row r="342" ht="46" customHeight="1">
      <x:c r="A342" s="7" t="n">
        <x:v>338</x:v>
      </x:c>
      <x:c r="B342" s="12" t="str">
        <x:v>Gabriel Park</x:v>
      </x:c>
      <x:c r="C342" s="12" t="str">
        <x:v>ESPC-II_ Gabriel Park</x:v>
      </x:c>
      <x:c r="D342" s="12" t="str"/>
      <x:c r="E342" s="12" t="str">
        <x:v>Gabriel Park - Retro commission all irrigation sprinkler systems and heads to ensure proper thrown and timing. Replace 10% of all rotary and spray heads.. FIM Name: 18.10-0136 Irrigation System Improvements</x:v>
      </x:c>
      <x:c r="F342" s="21" t="n">
        <x:v>70349</x:v>
      </x:c>
      <x:c r="G342" s="7" t="str">
        <x:v>Utilities / lighting / drainage</x:v>
      </x:c>
      <x:c r="H342" s="7" t="str">
        <x:v>KGW November 2023 report; estimate dates not supplied</x:v>
      </x:c>
      <x:c r="I342" s="7" t="str">
        <x:v>https://flo.uri.sh/visualisation/15494950/embed</x:v>
      </x:c>
    </x:row>
    <x:row r="343" ht="46" customHeight="1">
      <x:c r="A343" s="8" t="n">
        <x:v>339</x:v>
      </x:c>
      <x:c r="B343" s="11" t="str">
        <x:v>Gabriel Park</x:v>
      </x:c>
      <x:c r="C343" s="11" t="str">
        <x:v>Improve/ enhance tennis courts</x:v>
      </x:c>
      <x:c r="D343" s="11" t="str">
        <x:v>Gabriel Park</x:v>
      </x:c>
      <x:c r="E343" s="11" t="str">
        <x:v>Upgrade to community level facility:  Resurface 4 courts and replace low fencing w/ high.</x:v>
      </x:c>
      <x:c r="F343" s="20" t="n">
        <x:v>691989</x:v>
      </x:c>
      <x:c r="G343" s="8" t="str">
        <x:v>Fields / courts / play</x:v>
      </x:c>
      <x:c r="H343" s="8" t="str">
        <x:v>KGW November 2023 report; estimate dates not supplied</x:v>
      </x:c>
      <x:c r="I343" s="8" t="str">
        <x:v>https://flo.uri.sh/visualisation/15494950/embed</x:v>
      </x:c>
    </x:row>
    <x:row r="344" ht="46" customHeight="1">
      <x:c r="A344" s="7" t="n">
        <x:v>340</x:v>
      </x:c>
      <x:c r="B344" s="12" t="str">
        <x:v>Gabriel Park</x:v>
      </x:c>
      <x:c r="C344" s="12" t="str">
        <x:v>ADA Improvements</x:v>
      </x:c>
      <x:c r="D344" s="12" t="str">
        <x:v>Southwest Community Center &amp; Pool</x:v>
      </x:c>
      <x:c r="E344" s="12" t="str"/>
      <x:c r="F344" s="21" t="n">
        <x:v>59967</x:v>
      </x:c>
      <x:c r="G344" s="7" t="str">
        <x:v>Pools / aquatics</x:v>
      </x:c>
      <x:c r="H344" s="7" t="str">
        <x:v>KGW November 2023 report; estimate dates not supplied</x:v>
      </x:c>
      <x:c r="I344" s="7" t="str">
        <x:v>https://flo.uri.sh/visualisation/15494950/embed</x:v>
      </x:c>
    </x:row>
    <x:row r="345" ht="46" customHeight="1">
      <x:c r="A345" s="8" t="n">
        <x:v>341</x:v>
      </x:c>
      <x:c r="B345" s="11" t="str">
        <x:v>Gabriel Park</x:v>
      </x:c>
      <x:c r="C345" s="11" t="str">
        <x:v>Interior refinishing</x:v>
      </x:c>
      <x:c r="D345" s="11" t="str">
        <x:v>Southwest Community Center &amp; Pool</x:v>
      </x:c>
      <x:c r="E345" s="11" t="str">
        <x:v>refinish doors, floors, and wall to improve appearance</x:v>
      </x:c>
      <x:c r="F345" s="20" t="n">
        <x:v>59967</x:v>
      </x:c>
      <x:c r="G345" s="8" t="str">
        <x:v>Pools / aquatics</x:v>
      </x:c>
      <x:c r="H345" s="8" t="str">
        <x:v>KGW November 2023 report; estimate dates not supplied</x:v>
      </x:c>
      <x:c r="I345" s="8" t="str">
        <x:v>https://flo.uri.sh/visualisation/15494950/embed</x:v>
      </x:c>
    </x:row>
    <x:row r="346" ht="46" customHeight="1">
      <x:c r="A346" s="7" t="n">
        <x:v>342</x:v>
      </x:c>
      <x:c r="B346" s="12" t="str">
        <x:v>Gabriel Park</x:v>
      </x:c>
      <x:c r="C346" s="12" t="str">
        <x:v>Installation New Drainage System</x:v>
      </x:c>
      <x:c r="D346" s="12" t="str">
        <x:v>Gabriel Park</x:v>
      </x:c>
      <x:c r="E346" s="12" t="str">
        <x:v>Installation of new drainage systems at Gabriel.  These improvements will address surface water management, soil water balance and sports field wear longevity</x:v>
      </x:c>
      <x:c r="F346" s="21" t="n">
        <x:v>548525</x:v>
      </x:c>
      <x:c r="G346" s="7" t="str">
        <x:v>Fields / courts / play</x:v>
      </x:c>
      <x:c r="H346" s="7" t="str">
        <x:v>KGW November 2023 report; estimate dates not supplied</x:v>
      </x:c>
      <x:c r="I346" s="7" t="str">
        <x:v>https://flo.uri.sh/visualisation/15494950/embed</x:v>
      </x:c>
    </x:row>
    <x:row r="347" ht="46" customHeight="1">
      <x:c r="A347" s="8" t="n">
        <x:v>343</x:v>
      </x:c>
      <x:c r="B347" s="11" t="str">
        <x:v>Gabriel Park</x:v>
      </x:c>
      <x:c r="C347" s="11" t="str">
        <x:v>Renovate electrical and mechanical equipment</x:v>
      </x:c>
      <x:c r="D347" s="11" t="str">
        <x:v>West district HQ</x:v>
      </x:c>
      <x:c r="E347" s="11" t="str">
        <x:v>Electrical and mechanical equipment’s passed 25 year of service and need to replace.</x:v>
      </x:c>
      <x:c r="F347" s="20" t="n">
        <x:v>50000</x:v>
      </x:c>
      <x:c r="G347" s="8" t="str">
        <x:v>Utilities / lighting / drainage</x:v>
      </x:c>
      <x:c r="H347" s="8" t="str">
        <x:v>KGW November 2023 report; estimate dates not supplied</x:v>
      </x:c>
      <x:c r="I347" s="8" t="str">
        <x:v>https://flo.uri.sh/visualisation/15494950/embed</x:v>
      </x:c>
    </x:row>
    <x:row r="348" ht="46" customHeight="1">
      <x:c r="A348" s="7" t="n">
        <x:v>344</x:v>
      </x:c>
      <x:c r="B348" s="12" t="str">
        <x:v>Gabriel Park</x:v>
      </x:c>
      <x:c r="C348" s="12" t="str">
        <x:v>Renovate Tennis sport court at Gabriel Park</x:v>
      </x:c>
      <x:c r="D348" s="12" t="str">
        <x:v>Tennis Court</x:v>
      </x:c>
      <x:c r="E348" s="12" t="str">
        <x:v>Fix or replace the Asphalt surface of the court that is rated 4 through courts' assessment</x:v>
      </x:c>
      <x:c r="F348" s="21" t="n">
        <x:v>5636856</x:v>
      </x:c>
      <x:c r="G348" s="7" t="str">
        <x:v>Fields / courts / play</x:v>
      </x:c>
      <x:c r="H348" s="7" t="str">
        <x:v>KGW November 2023 report; estimate dates not supplied</x:v>
      </x:c>
      <x:c r="I348" s="7" t="str">
        <x:v>https://flo.uri.sh/visualisation/15494950/embed</x:v>
      </x:c>
    </x:row>
    <x:row r="349" ht="46" customHeight="1">
      <x:c r="A349" s="8" t="n">
        <x:v>345</x:v>
      </x:c>
      <x:c r="B349" s="11" t="str">
        <x:v>Gabriel Park</x:v>
      </x:c>
      <x:c r="C349" s="11" t="str">
        <x:v>Parking Lot Paving</x:v>
      </x:c>
      <x:c r="D349" s="11" t="str"/>
      <x:c r="E349" s="11" t="str">
        <x:v>Rebuild base approx. 40,446 SQ. FT. and pave 4" Re-Stripe match existing.</x:v>
      </x:c>
      <x:c r="F349" s="20" t="n">
        <x:v>432785</x:v>
      </x:c>
      <x:c r="G349" s="8" t="str">
        <x:v>Other site infrastructure</x:v>
      </x:c>
      <x:c r="H349" s="8" t="str">
        <x:v>KGW November 2023 report; estimate dates not supplied</x:v>
      </x:c>
      <x:c r="I349" s="8" t="str">
        <x:v>https://flo.uri.sh/visualisation/15494950/embed</x:v>
      </x:c>
    </x:row>
    <x:row r="350" ht="46" customHeight="1">
      <x:c r="A350" s="7" t="n">
        <x:v>346</x:v>
      </x:c>
      <x:c r="B350" s="12" t="str">
        <x:v>Gabriel Park</x:v>
      </x:c>
      <x:c r="C350" s="12" t="str">
        <x:v>Repair leaning fence</x:v>
      </x:c>
      <x:c r="D350" s="12" t="str">
        <x:v>Gabriel Community Garden &amp; Orchard</x:v>
      </x:c>
      <x:c r="E350" s="12" t="str">
        <x:v>Assess and repair leaning fence near plot community garden 81P, along south side of garden. Safety concern from gardener about leaning fence. One of the posts seems to be eroding from its foundation and fence is being propped up by wood stakes. Call with questions: Kathy Dang 503-823-1881. Kathy will send photo and map to Fencing staff.
This project may expand to include the whole fence.</x:v>
      </x:c>
      <x:c r="F350" s="21" t="n">
        <x:v>41162</x:v>
      </x:c>
      <x:c r="G350" s="7" t="str">
        <x:v>Other site infrastructure</x:v>
      </x:c>
      <x:c r="H350" s="7" t="str">
        <x:v>KGW November 2023 report; estimate dates not supplied</x:v>
      </x:c>
      <x:c r="I350" s="7" t="str">
        <x:v>https://flo.uri.sh/visualisation/15494950/embed</x:v>
      </x:c>
    </x:row>
    <x:row r="351" ht="46" customHeight="1">
      <x:c r="A351" s="8" t="n">
        <x:v>347</x:v>
      </x:c>
      <x:c r="B351" s="11" t="str">
        <x:v>Gabriel Park</x:v>
      </x:c>
      <x:c r="C351" s="11" t="str">
        <x:v>ESPC-II_ Gabriel Park</x:v>
      </x:c>
      <x:c r="D351" s="11" t="str"/>
      <x:c r="E351" s="11" t="str">
        <x:v>Convert existing lighting to LED technology via a re-lamp approach.. FIM Name: 09.06-0136 Building Interior Lighting LED Conversion</x:v>
      </x:c>
      <x:c r="F351" s="20" t="n">
        <x:v>4843</x:v>
      </x:c>
      <x:c r="G351" s="8" t="str">
        <x:v>Buildings / building systems</x:v>
      </x:c>
      <x:c r="H351" s="8" t="str">
        <x:v>KGW November 2023 report; estimate dates not supplied</x:v>
      </x:c>
      <x:c r="I351" s="8" t="str">
        <x:v>https://flo.uri.sh/visualisation/15494950/embed</x:v>
      </x:c>
    </x:row>
    <x:row r="352" ht="46" customHeight="1">
      <x:c r="A352" s="7" t="n">
        <x:v>348</x:v>
      </x:c>
      <x:c r="B352" s="12" t="str">
        <x:v>Gabriel Park</x:v>
      </x:c>
      <x:c r="C352" s="12" t="str">
        <x:v>Pathway Renovation</x:v>
      </x:c>
      <x:c r="D352" s="12" t="str">
        <x:v>Gabriel Park</x:v>
      </x:c>
      <x:c r="E352" s="12" t="str">
        <x:v>Replace the damaged pathway, trails and sidewalks that have been rated as 4 and 5 in Pathway assessment</x:v>
      </x:c>
      <x:c r="F352" s="21" t="n">
        <x:v>340571</x:v>
      </x:c>
      <x:c r="G352" s="7" t="str">
        <x:v>Paths / access / bridges</x:v>
      </x:c>
      <x:c r="H352" s="7" t="str">
        <x:v>KGW November 2023 report; estimate dates not supplied</x:v>
      </x:c>
      <x:c r="I352" s="7" t="str">
        <x:v>https://flo.uri.sh/visualisation/15494950/embed</x:v>
      </x:c>
    </x:row>
    <x:row r="353" ht="46" customHeight="1">
      <x:c r="A353" s="8" t="n">
        <x:v>349</x:v>
      </x:c>
      <x:c r="B353" s="11" t="str">
        <x:v>Gabriel Park</x:v>
      </x:c>
      <x:c r="C353" s="11" t="str">
        <x:v>ESPC-II_ Gabriel Park</x:v>
      </x:c>
      <x:c r="D353" s="11" t="str"/>
      <x:c r="E353" s="11" t="str">
        <x:v>Install a GE control node on each pathway light fixture.  Node for parks with &lt;50 fixtures will be model #ELWM18BXXXXAD.  Node for parks with &gt;50 fixtures will be model #ELWN08BXXXXAD.. FIM Name: 09.17-0136 Building Exterior Lighting Controls</x:v>
      </x:c>
      <x:c r="F353" s="20" t="n">
        <x:v>3295</x:v>
      </x:c>
      <x:c r="G353" s="8" t="str">
        <x:v>Buildings / building systems</x:v>
      </x:c>
      <x:c r="H353" s="8" t="str">
        <x:v>KGW November 2023 report; estimate dates not supplied</x:v>
      </x:c>
      <x:c r="I353" s="8" t="str">
        <x:v>https://flo.uri.sh/visualisation/15494950/embed</x:v>
      </x:c>
    </x:row>
    <x:row r="354" ht="46" customHeight="1">
      <x:c r="A354" s="7" t="n">
        <x:v>350</x:v>
      </x:c>
      <x:c r="B354" s="12" t="str">
        <x:v>Gabriel Park</x:v>
      </x:c>
      <x:c r="C354" s="12" t="str">
        <x:v>Fire Protection improvement</x:v>
      </x:c>
      <x:c r="D354" s="12" t="str">
        <x:v>Southwest Community Center &amp; Pool</x:v>
      </x:c>
      <x:c r="E354" s="12" t="str">
        <x:v>Relocate and provide additional sprinkler protection branchlines throughout the building.</x:v>
      </x:c>
      <x:c r="F354" s="21" t="n">
        <x:v>29983</x:v>
      </x:c>
      <x:c r="G354" s="7" t="str">
        <x:v>Pools / aquatics</x:v>
      </x:c>
      <x:c r="H354" s="7" t="str">
        <x:v>KGW November 2023 report; estimate dates not supplied</x:v>
      </x:c>
      <x:c r="I354" s="7" t="str">
        <x:v>https://flo.uri.sh/visualisation/15494950/embed</x:v>
      </x:c>
    </x:row>
    <x:row r="355" ht="46" customHeight="1">
      <x:c r="A355" s="8" t="n">
        <x:v>351</x:v>
      </x:c>
      <x:c r="B355" s="11" t="str">
        <x:v>Gabriel Park</x:v>
      </x:c>
      <x:c r="C355" s="11" t="str">
        <x:v>General Improvements; doors and windows, mechanica</x:v>
      </x:c>
      <x:c r="D355" s="11" t="str">
        <x:v>Southwest Community Center &amp; Pool</x:v>
      </x:c>
      <x:c r="E355" s="11" t="str">
        <x:v>Repair doors and windows, mechanical systems and building finishes. 
Replace double doors leading to the pool deck.</x:v>
      </x:c>
      <x:c r="F355" s="20" t="n">
        <x:v>283127</x:v>
      </x:c>
      <x:c r="G355" s="8" t="str">
        <x:v>Pools / aquatics</x:v>
      </x:c>
      <x:c r="H355" s="8" t="str">
        <x:v>KGW November 2023 report; estimate dates not supplied</x:v>
      </x:c>
      <x:c r="I355" s="8" t="str">
        <x:v>https://flo.uri.sh/visualisation/15494950/embed</x:v>
      </x:c>
    </x:row>
    <x:row r="356" ht="46" customHeight="1">
      <x:c r="A356" s="7" t="n">
        <x:v>352</x:v>
      </x:c>
      <x:c r="B356" s="12" t="str">
        <x:v>Gabriel Park</x:v>
      </x:c>
      <x:c r="C356" s="12" t="str">
        <x:v>Workspace- MEP and interior development</x:v>
      </x:c>
      <x:c r="D356" s="12" t="str">
        <x:v>West District Headquarters, ID-105</x:v>
      </x:c>
      <x:c r="E356" s="12" t="str">
        <x:v>Improvement Type: Building, Category: MEP, Subcategory: Plumbing, Description: Hot Water in Shower, Invest#: 105.01
Improvement Type: Building, Category: Interior, Subcategory: Furnishings, Description: Provide additional worktables, Invest#: 105.02</x:v>
      </x:c>
      <x:c r="F356" s="21" t="n">
        <x:v>20000</x:v>
      </x:c>
      <x:c r="G356" s="7" t="str">
        <x:v>Buildings / building systems</x:v>
      </x:c>
      <x:c r="H356" s="7" t="str">
        <x:v>KGW November 2023 report; estimate dates not supplied</x:v>
      </x:c>
      <x:c r="I356" s="7" t="str">
        <x:v>https://flo.uri.sh/visualisation/15494950/embed</x:v>
      </x:c>
    </x:row>
    <x:row r="357" ht="46" customHeight="1">
      <x:c r="A357" s="8" t="n">
        <x:v>353</x:v>
      </x:c>
      <x:c r="B357" s="11" t="str">
        <x:v>Gabriel Park</x:v>
      </x:c>
      <x:c r="C357" s="11" t="str">
        <x:v>Workspace- Reconfiguration and Furnishing</x:v>
      </x:c>
      <x:c r="D357" s="11" t="str">
        <x:v>Residence A, ID-677</x:v>
      </x:c>
      <x:c r="E357" s="11" t="str">
        <x:v>Project components:
mprovement Type: Building, Category: Interior, Subcategory: Furnishings, Description: Optimize Office Workspace (Furniture Solution), Invest#: 677.01
Improvement Type: Building, Category: Interior, Subcategory: Furnishings, Description: Reconfigure workspaces, Invest#: 677.03</x:v>
      </x:c>
      <x:c r="F357" s="20" t="n">
        <x:v>20000</x:v>
      </x:c>
      <x:c r="G357" s="8" t="str">
        <x:v>Buildings / building systems</x:v>
      </x:c>
      <x:c r="H357" s="8" t="str">
        <x:v>KGW November 2023 report; estimate dates not supplied</x:v>
      </x:c>
      <x:c r="I357" s="8" t="str">
        <x:v>https://flo.uri.sh/visualisation/15494950/embed</x:v>
      </x:c>
    </x:row>
    <x:row r="358" ht="46" customHeight="1">
      <x:c r="A358" s="7" t="n">
        <x:v>354</x:v>
      </x:c>
      <x:c r="B358" s="12" t="str">
        <x:v>Gabriel Park</x:v>
      </x:c>
      <x:c r="C358" s="12" t="str">
        <x:v>Workspace- Parking and gates</x:v>
      </x:c>
      <x:c r="D358" s="12" t="str">
        <x:v>Property</x:v>
      </x:c>
      <x:c r="E358" s="12" t="str">
        <x:v>Project components:
Improvement Type: Parking, Category: Site Configuration, Subcategory: Parking, Description: Fleet Parking, Invest#: 136.03
Improvement Type: Site, Category: Safety, Subcategory: Security - Gate, Description: Provide Access Gate , Invest#: 136.01</x:v>
      </x:c>
      <x:c r="F358" s="21" t="n">
        <x:v>20000</x:v>
      </x:c>
      <x:c r="G358" s="7" t="str">
        <x:v>Buildings / building systems</x:v>
      </x:c>
      <x:c r="H358" s="7" t="str">
        <x:v>KGW November 2023 report; estimate dates not supplied</x:v>
      </x:c>
      <x:c r="I358" s="7" t="str">
        <x:v>https://flo.uri.sh/visualisation/15494950/embed</x:v>
      </x:c>
    </x:row>
    <x:row r="359" ht="46" customHeight="1">
      <x:c r="A359" s="8" t="n">
        <x:v>355</x:v>
      </x:c>
      <x:c r="B359" s="11" t="str">
        <x:v>Gabriel Park</x:v>
      </x:c>
      <x:c r="C359" s="11" t="str">
        <x:v>ESPC-II_ Gabriel Park</x:v>
      </x:c>
      <x:c r="D359" s="11" t="str"/>
      <x:c r="E359" s="11" t="str">
        <x:v>Retrocommission all astronomical and mechanical timeclocks to ensure proper operation and correct current time.. FIM Name: 05.00-0136 Retro Commissioning Astronomical &amp; Mech Timeclocks</x:v>
      </x:c>
      <x:c r="F359" s="20" t="n">
        <x:v>2457</x:v>
      </x:c>
      <x:c r="G359" s="8" t="str">
        <x:v>Utilities / lighting / drainage</x:v>
      </x:c>
      <x:c r="H359" s="8" t="str">
        <x:v>KGW November 2023 report; estimate dates not supplied</x:v>
      </x:c>
      <x:c r="I359" s="8" t="str">
        <x:v>https://flo.uri.sh/visualisation/15494950/embed</x:v>
      </x:c>
    </x:row>
    <x:row r="360" ht="46" customHeight="1">
      <x:c r="A360" s="7" t="n">
        <x:v>356</x:v>
      </x:c>
      <x:c r="B360" s="12" t="str">
        <x:v>Gabriel Park</x:v>
      </x:c>
      <x:c r="C360" s="12" t="str">
        <x:v>Renovate Community Center Floors</x:v>
      </x:c>
      <x:c r="D360" s="12" t="str">
        <x:v>Southwest Community Center &amp; Pool</x:v>
      </x:c>
      <x:c r="E360" s="12" t="str">
        <x:v>Repair commnity center floor at SWCC.  Replace wet surface area floor with MMA acrylic resin surface.  Replaces CIP 2339, projects were split out.</x:v>
      </x:c>
      <x:c r="F360" s="21" t="n">
        <x:v>2246144</x:v>
      </x:c>
      <x:c r="G360" s="7" t="str">
        <x:v>Pools / aquatics</x:v>
      </x:c>
      <x:c r="H360" s="7" t="str">
        <x:v>KGW November 2023 report; estimate dates not supplied</x:v>
      </x:c>
      <x:c r="I360" s="7" t="str">
        <x:v>https://flo.uri.sh/visualisation/15494950/embed</x:v>
      </x:c>
    </x:row>
    <x:row r="361" ht="46" customHeight="1">
      <x:c r="A361" s="8" t="n">
        <x:v>357</x:v>
      </x:c>
      <x:c r="B361" s="11" t="str">
        <x:v>Gabriel Park</x:v>
      </x:c>
      <x:c r="C361" s="11" t="str">
        <x:v>ESPC-II_ Gabriel Park</x:v>
      </x:c>
      <x:c r="D361" s="11" t="str"/>
      <x:c r="E361" s="11" t="str">
        <x:v>Install low flow aerators, low flow shower heads, and RCx water closet flush valves.. FIM Name: 18.00-0136 Water Fixture Retrofits</x:v>
      </x:c>
      <x:c r="F361" s="20" t="n">
        <x:v>2123</x:v>
      </x:c>
      <x:c r="G361" s="8" t="str">
        <x:v>Utilities / lighting / drainage</x:v>
      </x:c>
      <x:c r="H361" s="8" t="str">
        <x:v>KGW November 2023 report; estimate dates not supplied</x:v>
      </x:c>
      <x:c r="I361" s="8" t="str">
        <x:v>https://flo.uri.sh/visualisation/15494950/embed</x:v>
      </x:c>
    </x:row>
    <x:row r="362" ht="46" customHeight="1">
      <x:c r="A362" s="7" t="n">
        <x:v>358</x:v>
      </x:c>
      <x:c r="B362" s="12" t="str">
        <x:v>Gabriel Park</x:v>
      </x:c>
      <x:c r="C362" s="12" t="str">
        <x:v>Bridge replacement near summer DOLA</x:v>
      </x:c>
      <x:c r="D362" s="12" t="str">
        <x:v>Gabriel Park</x:v>
      </x:c>
      <x:c r="E362" s="12" t="str">
        <x:v>Bridge is undersized, asphalt at corners is eroding and foundation has some erosion, bridge has warped boards.  Project will change approach to the bridge and replace with a new longer bridge.</x:v>
      </x:c>
      <x:c r="F362" s="21" t="n">
        <x:v>199302</x:v>
      </x:c>
      <x:c r="G362" s="7" t="str">
        <x:v>Paths / access / bridges</x:v>
      </x:c>
      <x:c r="H362" s="7" t="str">
        <x:v>KGW November 2023 report; estimate dates not supplied</x:v>
      </x:c>
      <x:c r="I362" s="7" t="str">
        <x:v>https://flo.uri.sh/visualisation/15494950/embed</x:v>
      </x:c>
    </x:row>
    <x:row r="363" ht="46" customHeight="1">
      <x:c r="A363" s="8" t="n">
        <x:v>359</x:v>
      </x:c>
      <x:c r="B363" s="11" t="str">
        <x:v>Gabriel Park</x:v>
      </x:c>
      <x:c r="C363" s="11" t="str">
        <x:v>Southwest community Center</x:v>
      </x:c>
      <x:c r="D363" s="11" t="str">
        <x:v>Gabriel Park</x:v>
      </x:c>
      <x:c r="E363" s="11" t="str">
        <x:v>Develope  building envelope, structural repair, Seismic improvement, roof repair  and mechanical redesign</x:v>
      </x:c>
      <x:c r="F363" s="20" t="n">
        <x:v>17640723</x:v>
      </x:c>
      <x:c r="G363" s="8" t="str">
        <x:v>Buildings / building systems</x:v>
      </x:c>
      <x:c r="H363" s="8" t="str">
        <x:v>KGW November 2023 report; estimate dates not supplied</x:v>
      </x:c>
      <x:c r="I363" s="8" t="str">
        <x:v>https://flo.uri.sh/visualisation/15494950/embed</x:v>
      </x:c>
    </x:row>
    <x:row r="364" ht="46" customHeight="1">
      <x:c r="A364" s="7" t="n">
        <x:v>360</x:v>
      </x:c>
      <x:c r="B364" s="12" t="str">
        <x:v>Gabriel Park</x:v>
      </x:c>
      <x:c r="C364" s="12" t="str">
        <x:v>Pave pathway with concrete</x:v>
      </x:c>
      <x:c r="D364" s="12" t="str">
        <x:v>SW community center</x:v>
      </x:c>
      <x:c r="E364" s="12" t="str">
        <x:v>Rock pathways: replace current rock pathways outside fitness studio and pool sun deck, on south side of Center, with poured concrete. Approx. area 700 sqft</x:v>
      </x:c>
      <x:c r="F364" s="21" t="n">
        <x:v>15000</x:v>
      </x:c>
      <x:c r="G364" s="7" t="str">
        <x:v>Pools / aquatics</x:v>
      </x:c>
      <x:c r="H364" s="7" t="str">
        <x:v>KGW November 2023 report; estimate dates not supplied</x:v>
      </x:c>
      <x:c r="I364" s="7" t="str">
        <x:v>https://flo.uri.sh/visualisation/15494950/embed</x:v>
      </x:c>
    </x:row>
    <x:row r="365" ht="46" customHeight="1">
      <x:c r="A365" s="8" t="n">
        <x:v>361</x:v>
      </x:c>
      <x:c r="B365" s="11" t="str">
        <x:v>Gabriel Park</x:v>
      </x:c>
      <x:c r="C365" s="11" t="str">
        <x:v>Ecological Restoration_ Gabriel Park</x:v>
      </x:c>
      <x:c r="D365" s="11" t="str"/>
      <x:c r="E365" s="11" t="str">
        <x:v>Placholder for Ecological health restoration</x:v>
      </x:c>
      <x:c r="F365" s="20" t="n">
        <x:v>147006</x:v>
      </x:c>
      <x:c r="G365" s="8" t="str">
        <x:v>Other site infrastructure</x:v>
      </x:c>
      <x:c r="H365" s="8" t="str">
        <x:v>KGW November 2023 report; estimate dates not supplied</x:v>
      </x:c>
      <x:c r="I365" s="8" t="str">
        <x:v>https://flo.uri.sh/visualisation/15494950/embed</x:v>
      </x:c>
    </x:row>
    <x:row r="366" ht="46" customHeight="1">
      <x:c r="A366" s="7" t="n">
        <x:v>362</x:v>
      </x:c>
      <x:c r="B366" s="12" t="str">
        <x:v>Gabriel Park</x:v>
      </x:c>
      <x:c r="C366" s="12" t="str">
        <x:v>LED Pool Lighting Upgrade</x:v>
      </x:c>
      <x:c r="D366" s="12" t="str">
        <x:v>Southwest Community Center &amp; Pool</x:v>
      </x:c>
      <x:c r="E366" s="12" t="str">
        <x:v>Remove fixtures, rebuild sockets, replace lighting with LED bulbs.</x:v>
      </x:c>
      <x:c r="F366" s="21" t="n">
        <x:v>13221</x:v>
      </x:c>
      <x:c r="G366" s="7" t="str">
        <x:v>Pools / aquatics</x:v>
      </x:c>
      <x:c r="H366" s="7" t="str">
        <x:v>KGW November 2023 report; estimate dates not supplied</x:v>
      </x:c>
      <x:c r="I366" s="7" t="str">
        <x:v>https://flo.uri.sh/visualisation/15494950/embed</x:v>
      </x:c>
    </x:row>
    <x:row r="367" ht="46" customHeight="1">
      <x:c r="A367" s="8" t="n">
        <x:v>363</x:v>
      </x:c>
      <x:c r="B367" s="11" t="str">
        <x:v>Gabriel Park</x:v>
      </x:c>
      <x:c r="C367" s="11" t="str">
        <x:v>Replace aged pool filters</x:v>
      </x:c>
      <x:c r="D367" s="11" t="str">
        <x:v>SW community center</x:v>
      </x:c>
      <x:c r="E367" s="11" t="str">
        <x:v>Description: Filter needs to be replaced due to age and ability to maintain.  Would like it to be replaced with a Defender Filter.
Location: Pool Mechanical Room
Alt Contact: Andy Amato</x:v>
      </x:c>
      <x:c r="F367" s="20" t="n">
        <x:v>115000</x:v>
      </x:c>
      <x:c r="G367" s="8" t="str">
        <x:v>Pools / aquatics</x:v>
      </x:c>
      <x:c r="H367" s="8" t="str">
        <x:v>KGW November 2023 report; estimate dates not supplied</x:v>
      </x:c>
      <x:c r="I367" s="8" t="str">
        <x:v>https://flo.uri.sh/visualisation/15494950/embed</x:v>
      </x:c>
    </x:row>
    <x:row r="368" ht="46" customHeight="1">
      <x:c r="A368" s="7" t="n">
        <x:v>364</x:v>
      </x:c>
      <x:c r="B368" s="12" t="str">
        <x:v>Gabriel Park</x:v>
      </x:c>
      <x:c r="C368" s="12" t="str">
        <x:v>Seismic improvement</x:v>
      </x:c>
      <x:c r="D368" s="12" t="str">
        <x:v>Southwest Community Center &amp; Pool</x:v>
      </x:c>
      <x:c r="E368" s="12" t="str">
        <x:v>Improve seismic bracing of the fire sprinkler system.</x:v>
      </x:c>
      <x:c r="F368" s="21" t="n">
        <x:v>11993</x:v>
      </x:c>
      <x:c r="G368" s="7" t="str">
        <x:v>Pools / aquatics</x:v>
      </x:c>
      <x:c r="H368" s="7" t="str">
        <x:v>KGW November 2023 report; estimate dates not supplied</x:v>
      </x:c>
      <x:c r="I368" s="7" t="str">
        <x:v>https://flo.uri.sh/visualisation/15494950/embed</x:v>
      </x:c>
    </x:row>
    <x:row r="369" ht="46" customHeight="1">
      <x:c r="A369" s="8" t="n">
        <x:v>365</x:v>
      </x:c>
      <x:c r="B369" s="11" t="str">
        <x:v>Gabriel Park</x:v>
      </x:c>
      <x:c r="C369" s="11" t="str">
        <x:v>Pool shell replaster</x:v>
      </x:c>
      <x:c r="D369" s="11" t="str">
        <x:v>Southwest Community Center</x:v>
      </x:c>
      <x:c r="E369" s="11" t="str">
        <x:v>This is Recurrence paroject that due every 10. SWCC pool will need to be replastered on or before
2029. See Project phases</x:v>
      </x:c>
      <x:c r="F369" s="20" t="n">
        <x:v>102000</x:v>
      </x:c>
      <x:c r="G369" s="8" t="str">
        <x:v>Pools / aquatics</x:v>
      </x:c>
      <x:c r="H369" s="8" t="str">
        <x:v>KGW November 2023 report; estimate dates not supplied</x:v>
      </x:c>
      <x:c r="I369" s="8" t="str">
        <x:v>https://flo.uri.sh/visualisation/15494950/embed</x:v>
      </x:c>
    </x:row>
    <x:row r="370" ht="46" customHeight="1">
      <x:c r="A370" s="7" t="n">
        <x:v>366</x:v>
      </x:c>
      <x:c r="B370" s="12" t="str">
        <x:v>Gabriel Park</x:v>
      </x:c>
      <x:c r="C370" s="12" t="str">
        <x:v>Repair gym room wall</x:v>
      </x:c>
      <x:c r="D370" s="12" t="str">
        <x:v>SW community Center</x:v>
      </x:c>
      <x:c r="E370" s="12" t="str">
        <x:v>Refinish walls in the gym,</x:v>
      </x:c>
      <x:c r="F370" s="21" t="n">
        <x:v>10935</x:v>
      </x:c>
      <x:c r="G370" s="7" t="str">
        <x:v>Buildings / building systems</x:v>
      </x:c>
      <x:c r="H370" s="7" t="str">
        <x:v>KGW November 2023 report; estimate dates not supplied</x:v>
      </x:c>
      <x:c r="I370" s="7" t="str">
        <x:v>https://flo.uri.sh/visualisation/15494950/embed</x:v>
      </x:c>
    </x:row>
    <x:row r="371" ht="46" customHeight="1">
      <x:c r="A371" s="8" t="n">
        <x:v>367</x:v>
      </x:c>
      <x:c r="B371" s="11" t="str">
        <x:v>Gabriel Park</x:v>
      </x:c>
      <x:c r="C371" s="11" t="str">
        <x:v>Workspace- Provide ADA accessibility</x:v>
      </x:c>
      <x:c r="D371" s="11" t="str">
        <x:v>West District Headquarters, ID-105</x:v>
      </x:c>
      <x:c r="E371" s="11" t="str">
        <x:v>Improvement Type: Building, Category: Accessibility, Subcategory: ADA, Description: Provide ADA bathroom, Invest#: 105.03</x:v>
      </x:c>
      <x:c r="F371" s="20" t="n">
        <x:v>10000</x:v>
      </x:c>
      <x:c r="G371" s="8" t="str">
        <x:v>Buildings / building systems</x:v>
      </x:c>
      <x:c r="H371" s="8" t="str">
        <x:v>KGW November 2023 report; estimate dates not supplied</x:v>
      </x:c>
      <x:c r="I371" s="8" t="str">
        <x:v>https://flo.uri.sh/visualisation/15494950/embed</x:v>
      </x:c>
    </x:row>
    <x:row r="372" ht="46" customHeight="1">
      <x:c r="A372" s="7" t="n">
        <x:v>368</x:v>
      </x:c>
      <x:c r="B372" s="12" t="str">
        <x:v>Gabriel Park</x:v>
      </x:c>
      <x:c r="C372" s="12" t="str">
        <x:v>Workspace- Improve ADA access</x:v>
      </x:c>
      <x:c r="D372" s="12" t="str">
        <x:v>Residence A, ID-677</x:v>
      </x:c>
      <x:c r="E372" s="12" t="str">
        <x:v>Improvement Type: Building, Category: Accessibility, Subcategory: ADA, Description: Review secondary access- consider stairs, or ADA ramp, Invest#: 677.02</x:v>
      </x:c>
      <x:c r="F372" s="21" t="n">
        <x:v>10000</x:v>
      </x:c>
      <x:c r="G372" s="7" t="str">
        <x:v>Buildings / building systems</x:v>
      </x:c>
      <x:c r="H372" s="7" t="str">
        <x:v>KGW November 2023 report; estimate dates not supplied</x:v>
      </x:c>
      <x:c r="I372" s="7" t="str">
        <x:v>https://flo.uri.sh/visualisation/15494950/embed</x:v>
      </x:c>
    </x:row>
    <x:row r="373" ht="46" customHeight="1">
      <x:c r="A373" s="8" t="n">
        <x:v>369</x:v>
      </x:c>
      <x:c r="B373" s="11" t="str">
        <x:v>Gabriel Park</x:v>
      </x:c>
      <x:c r="C373" s="11" t="str">
        <x:v>Workspace- Additional Material Bin Storage</x:v>
      </x:c>
      <x:c r="D373" s="11" t="str">
        <x:v>Property</x:v>
      </x:c>
      <x:c r="E373" s="11" t="str">
        <x:v>Improvement Type: Site, Category: Site Configuration, Subcategory: Material Bins , Description: 2 additional Material Bin Storage, Invest#: 136.02</x:v>
      </x:c>
      <x:c r="F373" s="20" t="n">
        <x:v>10000</x:v>
      </x:c>
      <x:c r="G373" s="8" t="str">
        <x:v>Buildings / building systems</x:v>
      </x:c>
      <x:c r="H373" s="8" t="str">
        <x:v>KGW November 2023 report; estimate dates not supplied</x:v>
      </x:c>
      <x:c r="I373" s="8" t="str">
        <x:v>https://flo.uri.sh/visualisation/15494950/embed</x:v>
      </x:c>
    </x:row>
    <x:row r="374" ht="46" customHeight="1">
      <x:c r="A374" s="7" t="n">
        <x:v>370</x:v>
      </x:c>
      <x:c r="B374" s="12" t="str">
        <x:v>Gabriel Park</x:v>
      </x:c>
      <x:c r="C374" s="12" t="str">
        <x:v>ESPC-II_ Gabriel Park</x:v>
      </x:c>
      <x:c r="D374" s="12" t="str"/>
      <x:c r="E374" s="12" t="str">
        <x:v>Convert existing lighting to LED technology via a re-lamp approach.. FIM Name: 09.07-0136 Building Exterior Lighting LED Conversion</x:v>
      </x:c>
      <x:c r="F374" s="21" t="n">
        <x:v>1075</x:v>
      </x:c>
      <x:c r="G374" s="7" t="str">
        <x:v>Buildings / building systems</x:v>
      </x:c>
      <x:c r="H374" s="7" t="str">
        <x:v>KGW November 2023 report; estimate dates not supplied</x:v>
      </x:c>
      <x:c r="I374" s="7" t="str">
        <x:v>https://flo.uri.sh/visualisation/15494950/embed</x:v>
      </x:c>
    </x:row>
    <x:row r="375" ht="46" customHeight="1">
      <x:c r="A375" s="8" t="n">
        <x:v>371</x:v>
      </x:c>
      <x:c r="B375" s="11" t="str">
        <x:v>Gabriel Park</x:v>
      </x:c>
      <x:c r="C375" s="11" t="str">
        <x:v>Roof repair / Siding &amp; Gutter Replacement at Natat</x:v>
      </x:c>
      <x:c r="D375" s="11" t="str">
        <x:v>Southwest Community Center &amp; Pool</x:v>
      </x:c>
      <x:c r="E375" s="11" t="str">
        <x:v>- Replace roof which has had blistering and breach problems since it was installed in 1999.
- Replace undersized gutters and failing siding at the natatorium.</x:v>
      </x:c>
      <x:c r="F375" s="20" t="n">
        <x:v>1037210</x:v>
      </x:c>
      <x:c r="G375" s="8" t="str">
        <x:v>Pools / aquatics</x:v>
      </x:c>
      <x:c r="H375" s="8" t="str">
        <x:v>KGW November 2023 report; estimate dates not supplied</x:v>
      </x:c>
      <x:c r="I375" s="8" t="str">
        <x:v>https://flo.uri.sh/visualisation/15494950/embed</x:v>
      </x:c>
    </x:row>
    <x:row r="376" ht="46" customHeight="1">
      <x:c r="A376" s="7" t="n">
        <x:v>372</x:v>
      </x:c>
      <x:c r="B376" s="12" t="str">
        <x:v>Gammans Park</x:v>
      </x:c>
      <x:c r="C376" s="12" t="str">
        <x:v>ESPC-III_Pathway Lighting to LEDs</x:v>
      </x:c>
      <x:c r="D376" s="12" t="str"/>
      <x:c r="E376" s="12" t="str">
        <x:v>Pathway Lighting Conversion to LEDs and Controls. Aprox: 2 Poles</x:v>
      </x:c>
      <x:c r="F376" s="21" t="n">
        <x:v>7056</x:v>
      </x:c>
      <x:c r="G376" s="7" t="str">
        <x:v>Paths / access / bridges</x:v>
      </x:c>
      <x:c r="H376" s="7" t="str">
        <x:v>KGW November 2023 report; estimate dates not supplied</x:v>
      </x:c>
      <x:c r="I376" s="7" t="str">
        <x:v>https://flo.uri.sh/visualisation/15494950/embed</x:v>
      </x:c>
    </x:row>
    <x:row r="377" ht="46" customHeight="1">
      <x:c r="A377" s="8" t="n">
        <x:v>373</x:v>
      </x:c>
      <x:c r="B377" s="11" t="str">
        <x:v>Gammans Park</x:v>
      </x:c>
      <x:c r="C377" s="11" t="str">
        <x:v>Pathway Renovation</x:v>
      </x:c>
      <x:c r="D377" s="11" t="str">
        <x:v>Internal Pathway/ Sidewalk</x:v>
      </x:c>
      <x:c r="E377" s="11" t="str">
        <x:v>Replace the damaged pathway, trails and sidewalks that have been rated as 4 and 5 in Pathway assessment</x:v>
      </x:c>
      <x:c r="F377" s="20" t="n">
        <x:v>28999</x:v>
      </x:c>
      <x:c r="G377" s="8" t="str">
        <x:v>Paths / access / bridges</x:v>
      </x:c>
      <x:c r="H377" s="8" t="str">
        <x:v>KGW November 2023 report; estimate dates not supplied</x:v>
      </x:c>
      <x:c r="I377" s="8" t="str">
        <x:v>https://flo.uri.sh/visualisation/15494950/embed</x:v>
      </x:c>
    </x:row>
    <x:row r="378" ht="46" customHeight="1">
      <x:c r="A378" s="7" t="n">
        <x:v>374</x:v>
      </x:c>
      <x:c r="B378" s="12" t="str">
        <x:v>Gateway Discovery Park</x:v>
      </x:c>
      <x:c r="C378" s="12" t="str">
        <x:v>ESPC-III_Buildings Lighting to LEDs</x:v>
      </x:c>
      <x:c r="D378" s="12" t="str">
        <x:v>Restroom - Loo</x:v>
      </x:c>
      <x:c r="E378" s="12" t="str">
        <x:v>LED conversion for Exterior and Interior Lights</x:v>
      </x:c>
      <x:c r="F378" s="21" t="n">
        <x:v>11760</x:v>
      </x:c>
      <x:c r="G378" s="7" t="str">
        <x:v>Buildings / building systems</x:v>
      </x:c>
      <x:c r="H378" s="7" t="str">
        <x:v>KGW November 2023 report; estimate dates not supplied</x:v>
      </x:c>
      <x:c r="I378" s="7" t="str">
        <x:v>https://flo.uri.sh/visualisation/15494950/embed</x:v>
      </x:c>
    </x:row>
    <x:row r="379" ht="46" customHeight="1">
      <x:c r="A379" s="8" t="n">
        <x:v>375</x:v>
      </x:c>
      <x:c r="B379" s="11" t="str">
        <x:v>General Locations</x:v>
      </x:c>
      <x:c r="C379" s="11" t="str">
        <x:v>Electrical system replacement</x:v>
      </x:c>
      <x:c r="D379" s="11" t="str">
        <x:v>Kelly Fountain</x:v>
      </x:c>
      <x:c r="E379" s="11" t="str">
        <x:v>Electrical system is corroded and will fail in the near future.  This is for installation of a new system.</x:v>
      </x:c>
      <x:c r="F379" s="20" t="n">
        <x:v>594933</x:v>
      </x:c>
      <x:c r="G379" s="8" t="str">
        <x:v>Utilities / lighting / drainage</x:v>
      </x:c>
      <x:c r="H379" s="8" t="str">
        <x:v>KGW November 2023 report; estimate dates not supplied</x:v>
      </x:c>
      <x:c r="I379" s="8" t="str">
        <x:v>https://flo.uri.sh/visualisation/15494950/embed</x:v>
      </x:c>
    </x:row>
    <x:row r="380" ht="46" customHeight="1">
      <x:c r="A380" s="7" t="n">
        <x:v>376</x:v>
      </x:c>
      <x:c r="B380" s="12" t="str">
        <x:v>General Locations</x:v>
      </x:c>
      <x:c r="C380" s="12" t="str">
        <x:v>Jefferson HS - 3 Soccer, 1 Ball Fields</x:v>
      </x:c>
      <x:c r="D380" s="12" t="str">
        <x:v>Jefferson High School</x:v>
      </x:c>
      <x:c r="E380" s="12" t="str">
        <x:v>CONTRIBUTION toward improvements at selected schools such as installing irrigation, improved goals, backstops, bleachers, etc.</x:v>
      </x:c>
      <x:c r="F380" s="21" t="n">
        <x:v>234340</x:v>
      </x:c>
      <x:c r="G380" s="7" t="str">
        <x:v>Fields / courts / play</x:v>
      </x:c>
      <x:c r="H380" s="7" t="str">
        <x:v>KGW November 2023 report; estimate dates not supplied</x:v>
      </x:c>
      <x:c r="I380" s="7" t="str">
        <x:v>https://flo.uri.sh/visualisation/15494950/embed</x:v>
      </x:c>
    </x:row>
    <x:row r="381" ht="46" customHeight="1">
      <x:c r="A381" s="8" t="n">
        <x:v>377</x:v>
      </x:c>
      <x:c r="B381" s="11" t="str">
        <x:v>General Locations</x:v>
      </x:c>
      <x:c r="C381" s="11" t="str">
        <x:v>Marshall HS - 2 Soccer, 1 Ball Fields</x:v>
      </x:c>
      <x:c r="D381" s="11" t="str">
        <x:v>Marshall High School</x:v>
      </x:c>
      <x:c r="E381" s="11" t="str">
        <x:v>CONTRIBUTION toward converting natural grass at selected schools to synthetic turf.   Lights.</x:v>
      </x:c>
      <x:c r="F381" s="20" t="n">
        <x:v>23221</x:v>
      </x:c>
      <x:c r="G381" s="8" t="str">
        <x:v>Fields / courts / play</x:v>
      </x:c>
      <x:c r="H381" s="8" t="str">
        <x:v>KGW November 2023 report; estimate dates not supplied</x:v>
      </x:c>
      <x:c r="I381" s="8" t="str">
        <x:v>https://flo.uri.sh/visualisation/15494950/embed</x:v>
      </x:c>
    </x:row>
    <x:row r="382" ht="46" customHeight="1">
      <x:c r="A382" s="7" t="n">
        <x:v>378</x:v>
      </x:c>
      <x:c r="B382" s="12" t="str">
        <x:v>General Locations</x:v>
      </x:c>
      <x:c r="C382" s="12" t="str">
        <x:v>Parkrose HS - 3 Soccer, 2 Ball Fields</x:v>
      </x:c>
      <x:c r="D382" s="12" t="str">
        <x:v>Parkrose High School</x:v>
      </x:c>
      <x:c r="E382" s="12" t="str">
        <x:v>CONTRIBUTION toward converting natural grass at selected schools to synthetic turf.   Lights.</x:v>
      </x:c>
      <x:c r="F382" s="21" t="n">
        <x:v>154807</x:v>
      </x:c>
      <x:c r="G382" s="7" t="str">
        <x:v>Fields / courts / play</x:v>
      </x:c>
      <x:c r="H382" s="7" t="str">
        <x:v>KGW November 2023 report; estimate dates not supplied</x:v>
      </x:c>
      <x:c r="I382" s="7" t="str">
        <x:v>https://flo.uri.sh/visualisation/15494950/embed</x:v>
      </x:c>
    </x:row>
    <x:row r="383" ht="46" customHeight="1">
      <x:c r="A383" s="8" t="n">
        <x:v>379</x:v>
      </x:c>
      <x:c r="B383" s="11" t="str">
        <x:v>General Locations</x:v>
      </x:c>
      <x:c r="C383" s="11" t="str">
        <x:v>Menlo Park MS - 2 Soccer Fields</x:v>
      </x:c>
      <x:c r="D383" s="11" t="str">
        <x:v>Menlo Park Elementary School</x:v>
      </x:c>
      <x:c r="E383" s="11" t="str">
        <x:v>CONTRIBUTION toward improvements at selected schools such as installing irrigation, improved goals, backstops, bleachers, etc.</x:v>
      </x:c>
      <x:c r="F383" s="20" t="n">
        <x:v>154807</x:v>
      </x:c>
      <x:c r="G383" s="8" t="str">
        <x:v>Fields / courts / play</x:v>
      </x:c>
      <x:c r="H383" s="8" t="str">
        <x:v>KGW November 2023 report; estimate dates not supplied</x:v>
      </x:c>
      <x:c r="I383" s="8" t="str">
        <x:v>https://flo.uri.sh/visualisation/15494950/embed</x:v>
      </x:c>
    </x:row>
    <x:row r="384" ht="46" customHeight="1">
      <x:c r="A384" s="7" t="n">
        <x:v>380</x:v>
      </x:c>
      <x:c r="B384" s="12" t="str">
        <x:v>General Locations</x:v>
      </x:c>
      <x:c r="C384" s="12" t="str">
        <x:v>Develop a Community Gardens Center</x:v>
      </x:c>
      <x:c r="D384" s="12" t="str">
        <x:v>City</x:v>
      </x:c>
      <x:c r="E384" s="12" t="str">
        <x:v>Part of Tabor Yard?</x:v>
      </x:c>
      <x:c r="F384" s="21" t="n">
        <x:v>1393267</x:v>
      </x:c>
      <x:c r="G384" s="7" t="str">
        <x:v>Other site infrastructure</x:v>
      </x:c>
      <x:c r="H384" s="7" t="str">
        <x:v>KGW November 2023 report; estimate dates not supplied</x:v>
      </x:c>
      <x:c r="I384" s="7" t="str">
        <x:v>https://flo.uri.sh/visualisation/15494950/embed</x:v>
      </x:c>
    </x:row>
    <x:row r="385" ht="46" customHeight="1">
      <x:c r="A385" s="8" t="n">
        <x:v>381</x:v>
      </x:c>
      <x:c r="B385" s="11" t="str">
        <x:v>George Himes Park</x:v>
      </x:c>
      <x:c r="C385" s="11" t="str">
        <x:v>Pathway Renovation</x:v>
      </x:c>
      <x:c r="D385" s="11" t="str">
        <x:v>Internal Pathway/ Sidewalk</x:v>
      </x:c>
      <x:c r="E385" s="11" t="str">
        <x:v>Replace the damaged pathway, trails and sidewalks that have been rated as 4 and 5 in Pathway assessment</x:v>
      </x:c>
      <x:c r="F385" s="20" t="n">
        <x:v>71500</x:v>
      </x:c>
      <x:c r="G385" s="8" t="str">
        <x:v>Paths / access / bridges</x:v>
      </x:c>
      <x:c r="H385" s="8" t="str">
        <x:v>KGW November 2023 report; estimate dates not supplied</x:v>
      </x:c>
      <x:c r="I385" s="8" t="str">
        <x:v>https://flo.uri.sh/visualisation/15494950/embed</x:v>
      </x:c>
    </x:row>
    <x:row r="386" ht="46" customHeight="1">
      <x:c r="A386" s="7" t="n">
        <x:v>382</x:v>
      </x:c>
      <x:c r="B386" s="12" t="str">
        <x:v>George Himes Park</x:v>
      </x:c>
      <x:c r="C386" s="12" t="str">
        <x:v>Ecological Restoration_ George Himes Park</x:v>
      </x:c>
      <x:c r="D386" s="12" t="str"/>
      <x:c r="E386" s="12" t="str">
        <x:v>Placholder for Ecological health restoration
Part of (Terwilliger Parkway including George Himes and Duniway) project</x:v>
      </x:c>
      <x:c r="F386" s="21" t="n">
        <x:v>49041</x:v>
      </x:c>
      <x:c r="G386" s="7" t="str">
        <x:v>Other site infrastructure</x:v>
      </x:c>
      <x:c r="H386" s="7" t="str">
        <x:v>KGW November 2023 report; estimate dates not supplied</x:v>
      </x:c>
      <x:c r="I386" s="7" t="str">
        <x:v>https://flo.uri.sh/visualisation/15494950/embed</x:v>
      </x:c>
    </x:row>
    <x:row r="387" ht="46" customHeight="1">
      <x:c r="A387" s="8" t="n">
        <x:v>383</x:v>
      </x:c>
      <x:c r="B387" s="11" t="str">
        <x:v>George Park</x:v>
      </x:c>
      <x:c r="C387" s="11" t="str">
        <x:v>Playground renovation</x:v>
      </x:c>
      <x:c r="D387" s="11" t="str">
        <x:v>Play Area A</x:v>
      </x:c>
      <x:c r="E387" s="11" t="str">
        <x:v>Renovation or repair playground that was rated as 5 during playground assessment in 2020</x:v>
      </x:c>
      <x:c r="F387" s="20" t="n">
        <x:v>80147</x:v>
      </x:c>
      <x:c r="G387" s="8" t="str">
        <x:v>Fields / courts / play</x:v>
      </x:c>
      <x:c r="H387" s="8" t="str">
        <x:v>KGW November 2023 report; estimate dates not supplied</x:v>
      </x:c>
      <x:c r="I387" s="8" t="str">
        <x:v>https://flo.uri.sh/visualisation/15494950/embed</x:v>
      </x:c>
    </x:row>
    <x:row r="388" ht="46" customHeight="1">
      <x:c r="A388" s="7" t="n">
        <x:v>384</x:v>
      </x:c>
      <x:c r="B388" s="12" t="str">
        <x:v>George Park</x:v>
      </x:c>
      <x:c r="C388" s="12" t="str">
        <x:v>Pathway Renovation</x:v>
      </x:c>
      <x:c r="D388" s="12" t="str">
        <x:v>Internal Pathway/ Sidewalk</x:v>
      </x:c>
      <x:c r="E388" s="12" t="str">
        <x:v>Replace the damaged pathway, trails and sidewalks that have been rated as 4 and 5 in Pathway assessment</x:v>
      </x:c>
      <x:c r="F388" s="21" t="n">
        <x:v>40417</x:v>
      </x:c>
      <x:c r="G388" s="7" t="str">
        <x:v>Paths / access / bridges</x:v>
      </x:c>
      <x:c r="H388" s="7" t="str">
        <x:v>KGW November 2023 report; estimate dates not supplied</x:v>
      </x:c>
      <x:c r="I388" s="7" t="str">
        <x:v>https://flo.uri.sh/visualisation/15494950/embed</x:v>
      </x:c>
    </x:row>
    <x:row r="389" ht="46" customHeight="1">
      <x:c r="A389" s="8" t="n">
        <x:v>385</x:v>
      </x:c>
      <x:c r="B389" s="11" t="str">
        <x:v>George Park</x:v>
      </x:c>
      <x:c r="C389" s="11" t="str">
        <x:v>ESPC-III_Pathway Lighting to LEDs</x:v>
      </x:c>
      <x:c r="D389" s="11" t="str"/>
      <x:c r="E389" s="11" t="str">
        <x:v>Pathway Lighting Conversion to LEDs and Controls. Aprox: 3 Poles</x:v>
      </x:c>
      <x:c r="F389" s="20" t="n">
        <x:v>10584</x:v>
      </x:c>
      <x:c r="G389" s="8" t="str">
        <x:v>Paths / access / bridges</x:v>
      </x:c>
      <x:c r="H389" s="8" t="str">
        <x:v>KGW November 2023 report; estimate dates not supplied</x:v>
      </x:c>
      <x:c r="I389" s="8" t="str">
        <x:v>https://flo.uri.sh/visualisation/15494950/embed</x:v>
      </x:c>
    </x:row>
    <x:row r="390" ht="46" customHeight="1">
      <x:c r="A390" s="7" t="n">
        <x:v>386</x:v>
      </x:c>
      <x:c r="B390" s="12" t="str">
        <x:v>Gilbert Heights Park</x:v>
      </x:c>
      <x:c r="C390" s="12" t="str">
        <x:v>ESPC-III_Pathway Lighting to LEDs</x:v>
      </x:c>
      <x:c r="D390" s="12" t="str"/>
      <x:c r="E390" s="12" t="str">
        <x:v>Pathway Lighting Conversion to LEDs and Controls. Aprox: 6 Poles</x:v>
      </x:c>
      <x:c r="F390" s="21" t="n">
        <x:v>21169</x:v>
      </x:c>
      <x:c r="G390" s="7" t="str">
        <x:v>Paths / access / bridges</x:v>
      </x:c>
      <x:c r="H390" s="7" t="str">
        <x:v>KGW November 2023 report; estimate dates not supplied</x:v>
      </x:c>
      <x:c r="I390" s="7" t="str">
        <x:v>https://flo.uri.sh/visualisation/15494950/embed</x:v>
      </x:c>
    </x:row>
    <x:row r="391" ht="46" customHeight="1">
      <x:c r="A391" s="8" t="n">
        <x:v>387</x:v>
      </x:c>
      <x:c r="B391" s="11" t="str">
        <x:v>Gilbert Primary Park</x:v>
      </x:c>
      <x:c r="C391" s="11" t="str">
        <x:v>Renovate sport field</x:v>
      </x:c>
      <x:c r="D391" s="11" t="str">
        <x:v>Ball Field 1</x:v>
      </x:c>
      <x:c r="E391" s="11" t="str">
        <x:v>Sport fields rated 4 or 5 in condition assessment</x:v>
      </x:c>
      <x:c r="F391" s="20" t="n">
        <x:v>225116</x:v>
      </x:c>
      <x:c r="G391" s="8" t="str">
        <x:v>Fields / courts / play</x:v>
      </x:c>
      <x:c r="H391" s="8" t="str">
        <x:v>KGW November 2023 report; estimate dates not supplied</x:v>
      </x:c>
      <x:c r="I391" s="8" t="str">
        <x:v>https://flo.uri.sh/visualisation/15494950/embed</x:v>
      </x:c>
    </x:row>
    <x:row r="392" ht="46" customHeight="1">
      <x:c r="A392" s="7" t="n">
        <x:v>388</x:v>
      </x:c>
      <x:c r="B392" s="12" t="str">
        <x:v>Glenfair Park</x:v>
      </x:c>
      <x:c r="C392" s="12" t="str">
        <x:v>Renovate irrigation at PPS Sports field</x:v>
      </x:c>
      <x:c r="D392" s="12" t="str">
        <x:v>Glenfair Elementary School</x:v>
      </x:c>
      <x:c r="E392" s="12" t="str">
        <x:v>Renovate irrigation system at Glenfair school field to provide more field capacity. Add parking light lighting requested by ONI CPTED (5 lights). Replaces CIP 2291, projects were split out by site.</x:v>
      </x:c>
      <x:c r="F392" s="21" t="n">
        <x:v>216472</x:v>
      </x:c>
      <x:c r="G392" s="7" t="str">
        <x:v>Fields / courts / play</x:v>
      </x:c>
      <x:c r="H392" s="7" t="str">
        <x:v>KGW November 2023 report; estimate dates not supplied</x:v>
      </x:c>
      <x:c r="I392" s="7" t="str">
        <x:v>https://flo.uri.sh/visualisation/15494950/embed</x:v>
      </x:c>
    </x:row>
    <x:row r="393" ht="46" customHeight="1">
      <x:c r="A393" s="8" t="n">
        <x:v>389</x:v>
      </x:c>
      <x:c r="B393" s="11" t="str">
        <x:v>Glenhaven Park</x:v>
      </x:c>
      <x:c r="C393" s="11" t="str">
        <x:v>Park entryway renovation</x:v>
      </x:c>
      <x:c r="D393" s="11" t="str">
        <x:v>Glenhaven Park</x:v>
      </x:c>
      <x:c r="E393" s="11" t="str">
        <x:v>Renovate entrance to the park.  Replaces CIP 1958, projects were split out.</x:v>
      </x:c>
      <x:c r="F393" s="20" t="n">
        <x:v>93233</x:v>
      </x:c>
      <x:c r="G393" s="8" t="str">
        <x:v>Other site infrastructure</x:v>
      </x:c>
      <x:c r="H393" s="8" t="str">
        <x:v>KGW November 2023 report; estimate dates not supplied</x:v>
      </x:c>
      <x:c r="I393" s="8" t="str">
        <x:v>https://flo.uri.sh/visualisation/15494950/embed</x:v>
      </x:c>
    </x:row>
    <x:row r="394" ht="46" customHeight="1">
      <x:c r="A394" s="7" t="n">
        <x:v>390</x:v>
      </x:c>
      <x:c r="B394" s="12" t="str">
        <x:v>Glenhaven Park</x:v>
      </x:c>
      <x:c r="C394" s="12" t="str">
        <x:v>Renovate parking lot_Parking Area A</x:v>
      </x:c>
      <x:c r="D394" s="12" t="str">
        <x:v>Parking Area A</x:v>
      </x:c>
      <x:c r="E394" s="12" t="str">
        <x:v>Repair parking lot that was rated 4 in condition assessment. Repair include surface, drainage and curb. approx area= 39921 sq.ft</x:v>
      </x:c>
      <x:c r="F394" s="21" t="n">
        <x:v>652713</x:v>
      </x:c>
      <x:c r="G394" s="7" t="str">
        <x:v>Utilities / lighting / drainage</x:v>
      </x:c>
      <x:c r="H394" s="7" t="str">
        <x:v>KGW November 2023 report; estimate dates not supplied</x:v>
      </x:c>
      <x:c r="I394" s="7" t="str">
        <x:v>https://flo.uri.sh/visualisation/15494950/embed</x:v>
      </x:c>
    </x:row>
    <x:row r="395" ht="46" customHeight="1">
      <x:c r="A395" s="8" t="n">
        <x:v>391</x:v>
      </x:c>
      <x:c r="B395" s="11" t="str">
        <x:v>Glenhaven Park</x:v>
      </x:c>
      <x:c r="C395" s="11" t="str">
        <x:v>Improve/ enhance tennis courts</x:v>
      </x:c>
      <x:c r="D395" s="11" t="str">
        <x:v>Glenhaven Park</x:v>
      </x:c>
      <x:c r="E395" s="11" t="str">
        <x:v>Upgrade to community level facilitty:  resurface 4 courts and crack sealing.</x:v>
      </x:c>
      <x:c r="F395" s="20" t="n">
        <x:v>147006</x:v>
      </x:c>
      <x:c r="G395" s="8" t="str">
        <x:v>Fields / courts / play</x:v>
      </x:c>
      <x:c r="H395" s="8" t="str">
        <x:v>KGW November 2023 report; estimate dates not supplied</x:v>
      </x:c>
      <x:c r="I395" s="8" t="str">
        <x:v>https://flo.uri.sh/visualisation/15494950/embed</x:v>
      </x:c>
    </x:row>
    <x:row r="396" ht="46" customHeight="1">
      <x:c r="A396" s="7" t="n">
        <x:v>392</x:v>
      </x:c>
      <x:c r="B396" s="12" t="str">
        <x:v>Glenhaven Park</x:v>
      </x:c>
      <x:c r="C396" s="12" t="str">
        <x:v>Irrigation renovation</x:v>
      </x:c>
      <x:c r="D396" s="12" t="str">
        <x:v>Glenhaven Park</x:v>
      </x:c>
      <x:c r="E396" s="12" t="str">
        <x:v>Renvoate irrigation.  Replaces CIP 1958, projects were split out.  Needs to be completed in 2019.</x:v>
      </x:c>
      <x:c r="F396" s="21" t="n">
        <x:v>121202</x:v>
      </x:c>
      <x:c r="G396" s="7" t="str">
        <x:v>Utilities / lighting / drainage</x:v>
      </x:c>
      <x:c r="H396" s="7" t="str">
        <x:v>KGW November 2023 report; estimate dates not supplied</x:v>
      </x:c>
      <x:c r="I396" s="7" t="str">
        <x:v>https://flo.uri.sh/visualisation/15494950/embed</x:v>
      </x:c>
    </x:row>
    <x:row r="397" ht="46" customHeight="1">
      <x:c r="A397" s="8" t="n">
        <x:v>393</x:v>
      </x:c>
      <x:c r="B397" s="11" t="str">
        <x:v>Glenhaven Park</x:v>
      </x:c>
      <x:c r="C397" s="11" t="str">
        <x:v>ESPC-III_Buildings Lighting to LEDs</x:v>
      </x:c>
      <x:c r="D397" s="11" t="str">
        <x:v>Restroom - Storage</x:v>
      </x:c>
      <x:c r="E397" s="11" t="str">
        <x:v>LED conversion for Exterior and Interior Lights</x:v>
      </x:c>
      <x:c r="F397" s="20" t="n">
        <x:v>11760</x:v>
      </x:c>
      <x:c r="G397" s="8" t="str">
        <x:v>Buildings / building systems</x:v>
      </x:c>
      <x:c r="H397" s="8" t="str">
        <x:v>KGW November 2023 report; estimate dates not supplied</x:v>
      </x:c>
      <x:c r="I397" s="8" t="str">
        <x:v>https://flo.uri.sh/visualisation/15494950/embed</x:v>
      </x:c>
    </x:row>
    <x:row r="398" ht="46" customHeight="1">
      <x:c r="A398" s="7" t="n">
        <x:v>394</x:v>
      </x:c>
      <x:c r="B398" s="12" t="str">
        <x:v>Glenwood Park</x:v>
      </x:c>
      <x:c r="C398" s="12" t="str">
        <x:v>Pathway Renovation</x:v>
      </x:c>
      <x:c r="D398" s="12" t="str">
        <x:v>Glenwood Park</x:v>
      </x:c>
      <x:c r="E398" s="12" t="str">
        <x:v>Replace the damaged pathway, trails and sidewalks that have been rated as 4 and 5 in Pathway assessment. Trip hazards for joggers, walkers, bikers, etc, including:  tree roots pushing through asphalt, 
sunken grades, etc.</x:v>
      </x:c>
      <x:c r="F398" s="21" t="n">
        <x:v>46720</x:v>
      </x:c>
      <x:c r="G398" s="7" t="str">
        <x:v>Paths / access / bridges</x:v>
      </x:c>
      <x:c r="H398" s="7" t="str">
        <x:v>KGW November 2023 report; estimate dates not supplied</x:v>
      </x:c>
      <x:c r="I398" s="7" t="str">
        <x:v>https://flo.uri.sh/visualisation/15494950/embed</x:v>
      </x:c>
    </x:row>
    <x:row r="399" ht="46" customHeight="1">
      <x:c r="A399" s="8" t="n">
        <x:v>395</x:v>
      </x:c>
      <x:c r="B399" s="11" t="str">
        <x:v>Glenwood Park</x:v>
      </x:c>
      <x:c r="C399" s="11" t="str">
        <x:v>Renovation of tennis courts</x:v>
      </x:c>
      <x:c r="D399" s="11" t="str">
        <x:v>Glenwood Park</x:v>
      </x:c>
      <x:c r="E399" s="11" t="str">
        <x:v>Resurface 2 courts, provide drinking fountain, new benches, fencing and nets/standards. Priority 1</x:v>
      </x:c>
      <x:c r="F399" s="20" t="n">
        <x:v>267817</x:v>
      </x:c>
      <x:c r="G399" s="8" t="str">
        <x:v>Fields / courts / play</x:v>
      </x:c>
      <x:c r="H399" s="8" t="str">
        <x:v>KGW November 2023 report; estimate dates not supplied</x:v>
      </x:c>
      <x:c r="I399" s="8" t="str">
        <x:v>https://flo.uri.sh/visualisation/15494950/embed</x:v>
      </x:c>
    </x:row>
    <x:row r="400" ht="46" customHeight="1">
      <x:c r="A400" s="7" t="n">
        <x:v>396</x:v>
      </x:c>
      <x:c r="B400" s="12" t="str">
        <x:v>Glenwood Park</x:v>
      </x:c>
      <x:c r="C400" s="12" t="str">
        <x:v>ESPC-III_Buildings Lighting to LEDs</x:v>
      </x:c>
      <x:c r="D400" s="12" t="str">
        <x:v>Restroom - Storage - Maintenance</x:v>
      </x:c>
      <x:c r="E400" s="12" t="str">
        <x:v>LED conversion for Exterior and Interior Lights</x:v>
      </x:c>
      <x:c r="F400" s="21" t="n">
        <x:v>11760</x:v>
      </x:c>
      <x:c r="G400" s="7" t="str">
        <x:v>Buildings / building systems</x:v>
      </x:c>
      <x:c r="H400" s="7" t="str">
        <x:v>KGW November 2023 report; estimate dates not supplied</x:v>
      </x:c>
      <x:c r="I400" s="7" t="str">
        <x:v>https://flo.uri.sh/visualisation/15494950/embed</x:v>
      </x:c>
    </x:row>
    <x:row r="401" ht="46" customHeight="1">
      <x:c r="A401" s="8" t="n">
        <x:v>397</x:v>
      </x:c>
      <x:c r="B401" s="11" t="str">
        <x:v>Gov Tom McCall Waterfront Park</x:v>
      </x:c>
      <x:c r="C401" s="11" t="str">
        <x:v>Waterfront Pk Turf Renovation</x:v>
      </x:c>
      <x:c r="D401" s="11" t="str"/>
      <x:c r="E401" s="11" t="str">
        <x:v>Remove 1" to 2" layer of organic matter fromms and-based turf areas, regrade, improve irrigation, reseed</x:v>
      </x:c>
      <x:c r="F401" s="20" t="n">
        <x:v>91103</x:v>
      </x:c>
      <x:c r="G401" s="8" t="str">
        <x:v>Utilities / lighting / drainage</x:v>
      </x:c>
      <x:c r="H401" s="8" t="str">
        <x:v>KGW November 2023 report; estimate dates not supplied</x:v>
      </x:c>
      <x:c r="I401" s="8" t="str">
        <x:v>https://flo.uri.sh/visualisation/15494950/embed</x:v>
      </x:c>
    </x:row>
    <x:row r="402" ht="46" customHeight="1">
      <x:c r="A402" s="7" t="n">
        <x:v>398</x:v>
      </x:c>
      <x:c r="B402" s="12" t="str">
        <x:v>Gov Tom McCall Waterfront Park</x:v>
      </x:c>
      <x:c r="C402" s="12" t="str">
        <x:v>Hawthorne Bridge to Salmon Street Springs</x:v>
      </x:c>
      <x:c r="D402" s="12" t="str">
        <x:v>Gov Tom McCall Waterfront Park</x:v>
      </x:c>
      <x:c r="E402" s="12" t="str">
        <x:v>Naito Parkway sidewalk, build new dock for sternwheeler, renovate restroom, add terraced concrete steps, relocate WWII Memorial, build new plaza, repave  Esplanade.  Reseed lawns.</x:v>
      </x:c>
      <x:c r="F402" s="21" t="n">
        <x:v>7831539</x:v>
      </x:c>
      <x:c r="G402" s="7" t="str">
        <x:v>Paths / access / bridges</x:v>
      </x:c>
      <x:c r="H402" s="7" t="str">
        <x:v>KGW November 2023 report; estimate dates not supplied</x:v>
      </x:c>
      <x:c r="I402" s="7" t="str">
        <x:v>https://flo.uri.sh/visualisation/15494950/embed</x:v>
      </x:c>
    </x:row>
    <x:row r="403" ht="46" customHeight="1">
      <x:c r="A403" s="8" t="n">
        <x:v>399</x:v>
      </x:c>
      <x:c r="B403" s="11" t="str">
        <x:v>Gov Tom McCall Waterfront Park</x:v>
      </x:c>
      <x:c r="C403" s="11" t="str">
        <x:v>Replace Backflow preventer device</x:v>
      </x:c>
      <x:c r="D403" s="11" t="str">
        <x:v>Property</x:v>
      </x:c>
      <x:c r="E403" s="11" t="str">
        <x:v>- Replace out of compliance backflow preventers
- Assembly: Double Check Valve Assembly (DCVA)
- Move to property line, if needed
- Hazard: well Site
- See components for detail</x:v>
      </x:c>
      <x:c r="F403" s="20" t="n">
        <x:v>55000</x:v>
      </x:c>
      <x:c r="G403" s="8" t="str">
        <x:v>Utilities / lighting / drainage</x:v>
      </x:c>
      <x:c r="H403" s="8" t="str">
        <x:v>KGW November 2023 report; estimate dates not supplied</x:v>
      </x:c>
      <x:c r="I403" s="8" t="str">
        <x:v>https://flo.uri.sh/visualisation/15494950/embed</x:v>
      </x:c>
    </x:row>
    <x:row r="404" ht="46" customHeight="1">
      <x:c r="A404" s="7" t="n">
        <x:v>400</x:v>
      </x:c>
      <x:c r="B404" s="12" t="str">
        <x:v>Gov Tom McCall Waterfront Park</x:v>
      </x:c>
      <x:c r="C404" s="12" t="str">
        <x:v>Building renovation</x:v>
      </x:c>
      <x:c r="D404" s="12" t="str">
        <x:v>Utility C</x:v>
      </x:c>
      <x:c r="E404" s="12" t="str">
        <x:v>Renovate buildings rated 4 or 5 in building assessment</x:v>
      </x:c>
      <x:c r="F404" s="21" t="n">
        <x:v>36977</x:v>
      </x:c>
      <x:c r="G404" s="7" t="str">
        <x:v>Buildings / building systems</x:v>
      </x:c>
      <x:c r="H404" s="7" t="str">
        <x:v>KGW November 2023 report; estimate dates not supplied</x:v>
      </x:c>
      <x:c r="I404" s="7" t="str">
        <x:v>https://flo.uri.sh/visualisation/15494950/embed</x:v>
      </x:c>
    </x:row>
    <x:row r="405" ht="46" customHeight="1">
      <x:c r="A405" s="8" t="n">
        <x:v>401</x:v>
      </x:c>
      <x:c r="B405" s="11" t="str">
        <x:v>Gov Tom McCall Waterfront Park</x:v>
      </x:c>
      <x:c r="C405" s="11" t="str">
        <x:v>Salmon Street Springs to Morrison Bridge; Waterfro</x:v>
      </x:c>
      <x:c r="D405" s="11" t="str">
        <x:v>Gov Tom McCall Waterfront Park</x:v>
      </x:c>
      <x:c r="E405" s="11" t="str">
        <x:v>Naito Parkway sidewalk, relocate drop-off area, build new plaza with cantilevered deck, connect to Morrison Bridge, expand "Portland Spirit" dock and repave Esplanade.</x:v>
      </x:c>
      <x:c r="F405" s="20" t="n">
        <x:v>20977337</x:v>
      </x:c>
      <x:c r="G405" s="8" t="str">
        <x:v>Paths / access / bridges</x:v>
      </x:c>
      <x:c r="H405" s="8" t="str">
        <x:v>KGW November 2023 report; estimate dates not supplied</x:v>
      </x:c>
      <x:c r="I405" s="8" t="str">
        <x:v>https://flo.uri.sh/visualisation/15494950/embed</x:v>
      </x:c>
    </x:row>
    <x:row r="406" ht="46" customHeight="1">
      <x:c r="A406" s="7" t="n">
        <x:v>402</x:v>
      </x:c>
      <x:c r="B406" s="12" t="str">
        <x:v>Gov Tom McCall Waterfront Park</x:v>
      </x:c>
      <x:c r="C406" s="12" t="str">
        <x:v>Pathway Renovation</x:v>
      </x:c>
      <x:c r="D406" s="12" t="str">
        <x:v>Gov Tom McCall Waterfront Park</x:v>
      </x:c>
      <x:c r="E406" s="12" t="str">
        <x:v>Replace the damaged pathway, trails and sidewalks that have been rated as 5 in Pathway assessment</x:v>
      </x:c>
      <x:c r="F406" s="21" t="n">
        <x:v>167109</x:v>
      </x:c>
      <x:c r="G406" s="7" t="str">
        <x:v>Paths / access / bridges</x:v>
      </x:c>
      <x:c r="H406" s="7" t="str">
        <x:v>KGW November 2023 report; estimate dates not supplied</x:v>
      </x:c>
      <x:c r="I406" s="7" t="str">
        <x:v>https://flo.uri.sh/visualisation/15494950/embed</x:v>
      </x:c>
    </x:row>
    <x:row r="407" ht="46" customHeight="1">
      <x:c r="A407" s="8" t="n">
        <x:v>403</x:v>
      </x:c>
      <x:c r="B407" s="11" t="str">
        <x:v>Gov Tom McCall Waterfront Park</x:v>
      </x:c>
      <x:c r="C407" s="11" t="str">
        <x:v>ESPC-III_Buildings Lighting to LEDs</x:v>
      </x:c>
      <x:c r="D407" s="11" t="str">
        <x:v>Utility</x:v>
      </x:c>
      <x:c r="E407" s="11" t="str">
        <x:v>LED conversion for Exterior and Interior Lights</x:v>
      </x:c>
      <x:c r="F407" s="20" t="n">
        <x:v>11760</x:v>
      </x:c>
      <x:c r="G407" s="8" t="str">
        <x:v>Buildings / building systems</x:v>
      </x:c>
      <x:c r="H407" s="8" t="str">
        <x:v>KGW November 2023 report; estimate dates not supplied</x:v>
      </x:c>
      <x:c r="I407" s="8" t="str">
        <x:v>https://flo.uri.sh/visualisation/15494950/embed</x:v>
      </x:c>
    </x:row>
    <x:row r="408" ht="46" customHeight="1">
      <x:c r="A408" s="7" t="n">
        <x:v>404</x:v>
      </x:c>
      <x:c r="B408" s="12" t="str">
        <x:v>Gov Tom McCall Waterfront Park</x:v>
      </x:c>
      <x:c r="C408" s="12" t="str">
        <x:v>ESPC-III_Buildings Lighting to LEDs</x:v>
      </x:c>
      <x:c r="D408" s="12" t="str">
        <x:v>Restroom</x:v>
      </x:c>
      <x:c r="E408" s="12" t="str">
        <x:v>LED conversion for Exterior and Interior Lights</x:v>
      </x:c>
      <x:c r="F408" s="21" t="n">
        <x:v>11760</x:v>
      </x:c>
      <x:c r="G408" s="7" t="str">
        <x:v>Buildings / building systems</x:v>
      </x:c>
      <x:c r="H408" s="7" t="str">
        <x:v>KGW November 2023 report; estimate dates not supplied</x:v>
      </x:c>
      <x:c r="I408" s="7" t="str">
        <x:v>https://flo.uri.sh/visualisation/15494950/embed</x:v>
      </x:c>
    </x:row>
    <x:row r="409" ht="46" customHeight="1">
      <x:c r="A409" s="8" t="n">
        <x:v>405</x:v>
      </x:c>
      <x:c r="B409" s="11" t="str">
        <x:v>Gov Tom McCall Waterfront Park</x:v>
      </x:c>
      <x:c r="C409" s="11" t="str">
        <x:v>USS Oregon Battleship Mast Renovation</x:v>
      </x:c>
      <x:c r="D409" s="11" t="str">
        <x:v>Gov Tom McCall Waterfront Park</x:v>
      </x:c>
      <x:c r="E409" s="11" t="str">
        <x:v>Complete unfinished items from Navey League's survey of needed mast repairs, including replacing side shell steel, replacingtop exterior platform, restoring sliding doors, repainting, replacing interior, circular platform, rebuilding three platforms, inspecting newly installed electrical systems and wiring.</x:v>
      </x:c>
      <x:c r="F409" s="20" t="n">
        <x:v>1288505</x:v>
      </x:c>
      <x:c r="G409" s="8" t="str">
        <x:v>Buildings / building systems</x:v>
      </x:c>
      <x:c r="H409" s="8" t="str">
        <x:v>KGW November 2023 report; estimate dates not supplied</x:v>
      </x:c>
      <x:c r="I409" s="8" t="str">
        <x:v>https://flo.uri.sh/visualisation/15494950/embed</x:v>
      </x:c>
    </x:row>
    <x:row r="410" ht="46" customHeight="1">
      <x:c r="A410" s="7" t="n">
        <x:v>406</x:v>
      </x:c>
      <x:c r="B410" s="12" t="str">
        <x:v>Governors Park</x:v>
      </x:c>
      <x:c r="C410" s="12" t="str">
        <x:v>Pathway Renovation</x:v>
      </x:c>
      <x:c r="D410" s="12" t="str">
        <x:v>Governors Park</x:v>
      </x:c>
      <x:c r="E410" s="12" t="str">
        <x:v>Replace the damaged pathway, trails and sidewalks that have been rated as 4 and 5 in Pathway assessment</x:v>
      </x:c>
      <x:c r="F410" s="21" t="n">
        <x:v>95849</x:v>
      </x:c>
      <x:c r="G410" s="7" t="str">
        <x:v>Paths / access / bridges</x:v>
      </x:c>
      <x:c r="H410" s="7" t="str">
        <x:v>KGW November 2023 report; estimate dates not supplied</x:v>
      </x:c>
      <x:c r="I410" s="7" t="str">
        <x:v>https://flo.uri.sh/visualisation/15494950/embed</x:v>
      </x:c>
    </x:row>
    <x:row r="411" ht="46" customHeight="1">
      <x:c r="A411" s="8" t="n">
        <x:v>407</x:v>
      </x:c>
      <x:c r="B411" s="11" t="str">
        <x:v>Grant Park</x:v>
      </x:c>
      <x:c r="C411" s="11" t="str">
        <x:v>Improve/ enhance tennis courts</x:v>
      </x:c>
      <x:c r="D411" s="11" t="str">
        <x:v>Grant Park</x:v>
      </x:c>
      <x:c r="E411" s="11" t="str">
        <x:v>Upgrade to community level facility:  Rebuild and resurface 6 Courts. Add drinking fountain and fencing/gate.</x:v>
      </x:c>
      <x:c r="F411" s="20" t="n">
        <x:v>727595</x:v>
      </x:c>
      <x:c r="G411" s="8" t="str">
        <x:v>Fields / courts / play</x:v>
      </x:c>
      <x:c r="H411" s="8" t="str">
        <x:v>KGW November 2023 report; estimate dates not supplied</x:v>
      </x:c>
      <x:c r="I411" s="8" t="str">
        <x:v>https://flo.uri.sh/visualisation/15494950/embed</x:v>
      </x:c>
    </x:row>
    <x:row r="412" ht="46" customHeight="1">
      <x:c r="A412" s="7" t="n">
        <x:v>408</x:v>
      </x:c>
      <x:c r="B412" s="12" t="str">
        <x:v>Grant Park</x:v>
      </x:c>
      <x:c r="C412" s="12" t="str">
        <x:v>Grant Track Renovation</x:v>
      </x:c>
      <x:c r="D412" s="12" t="str">
        <x:v>Grant Park</x:v>
      </x:c>
      <x:c r="E412" s="12" t="str">
        <x:v>Grant Park Track was installed in 2013 and is a BSS 100 Track Surface.  This surface should be good until 2023 - 2025 when a Top Coat should be applied.</x:v>
      </x:c>
      <x:c r="F412" s="21" t="n">
        <x:v>625605</x:v>
      </x:c>
      <x:c r="G412" s="7" t="str">
        <x:v>Other site infrastructure</x:v>
      </x:c>
      <x:c r="H412" s="7" t="str">
        <x:v>KGW November 2023 report; estimate dates not supplied</x:v>
      </x:c>
      <x:c r="I412" s="7" t="str">
        <x:v>https://flo.uri.sh/visualisation/15494950/embed</x:v>
      </x:c>
    </x:row>
    <x:row r="413" ht="46" customHeight="1">
      <x:c r="A413" s="8" t="n">
        <x:v>409</x:v>
      </x:c>
      <x:c r="B413" s="11" t="str">
        <x:v>Grant Park</x:v>
      </x:c>
      <x:c r="C413" s="11" t="str">
        <x:v>Ballfield Improvements</x:v>
      </x:c>
      <x:c r="D413" s="11" t="str">
        <x:v>Grant Park</x:v>
      </x:c>
      <x:c r="E413" s="11" t="str">
        <x:v>Replace fencing, backstop, level field (add dirt).  See also CIP 2544.</x:v>
      </x:c>
      <x:c r="F413" s="20" t="n">
        <x:v>20069</x:v>
      </x:c>
      <x:c r="G413" s="8" t="str">
        <x:v>Fields / courts / play</x:v>
      </x:c>
      <x:c r="H413" s="8" t="str">
        <x:v>KGW November 2023 report; estimate dates not supplied</x:v>
      </x:c>
      <x:c r="I413" s="8" t="str">
        <x:v>https://flo.uri.sh/visualisation/15494950/embed</x:v>
      </x:c>
    </x:row>
    <x:row r="414" ht="46" customHeight="1">
      <x:c r="A414" s="7" t="n">
        <x:v>410</x:v>
      </x:c>
      <x:c r="B414" s="12" t="str">
        <x:v>Grant Park</x:v>
      </x:c>
      <x:c r="C414" s="12" t="str">
        <x:v>Pathway Renovation</x:v>
      </x:c>
      <x:c r="D414" s="12" t="str">
        <x:v>Grant Park</x:v>
      </x:c>
      <x:c r="E414" s="12" t="str">
        <x:v>Replace the damaged pathway, trails and sidewalks that have been rated as 4 and 5 in Pathway assessment</x:v>
      </x:c>
      <x:c r="F414" s="21" t="n">
        <x:v>160115</x:v>
      </x:c>
      <x:c r="G414" s="7" t="str">
        <x:v>Paths / access / bridges</x:v>
      </x:c>
      <x:c r="H414" s="7" t="str">
        <x:v>KGW November 2023 report; estimate dates not supplied</x:v>
      </x:c>
      <x:c r="I414" s="7" t="str">
        <x:v>https://flo.uri.sh/visualisation/15494950/embed</x:v>
      </x:c>
    </x:row>
    <x:row r="415" ht="46" customHeight="1">
      <x:c r="A415" s="8" t="n">
        <x:v>411</x:v>
      </x:c>
      <x:c r="B415" s="11" t="str">
        <x:v>Grant Park</x:v>
      </x:c>
      <x:c r="C415" s="11" t="str">
        <x:v>Replace Backflow preventer device</x:v>
      </x:c>
      <x:c r="D415" s="11" t="str">
        <x:v>Pool</x:v>
      </x:c>
      <x:c r="E415" s="11" t="str">
        <x:v>- Replace out of compliance backflow preventer
- Assembly: Double Check Valve Assembly (DCVA)
- Premises Isolation (PI): 4" Reduced Pressure (RP)+ Enclosure. Serial # 37864
- Move to property line, if needed
- Hazard: Aquatics</x:v>
      </x:c>
      <x:c r="F415" s="20" t="n">
        <x:v>13000</x:v>
      </x:c>
      <x:c r="G415" s="8" t="str">
        <x:v>Pools / aquatics</x:v>
      </x:c>
      <x:c r="H415" s="8" t="str">
        <x:v>KGW November 2023 report; estimate dates not supplied</x:v>
      </x:c>
      <x:c r="I415" s="8" t="str">
        <x:v>https://flo.uri.sh/visualisation/15494950/embed</x:v>
      </x:c>
    </x:row>
    <x:row r="416" ht="46" customHeight="1">
      <x:c r="A416" s="7" t="n">
        <x:v>412</x:v>
      </x:c>
      <x:c r="B416" s="12" t="str">
        <x:v>Grant Park</x:v>
      </x:c>
      <x:c r="C416" s="12" t="str">
        <x:v>ESPC-III_Buildings Lighting to LEDs</x:v>
      </x:c>
      <x:c r="D416" s="12" t="str">
        <x:v>Storage</x:v>
      </x:c>
      <x:c r="E416" s="12" t="str">
        <x:v>LED conversion for Exterior and Interior Lights</x:v>
      </x:c>
      <x:c r="F416" s="21" t="n">
        <x:v>11760</x:v>
      </x:c>
      <x:c r="G416" s="7" t="str">
        <x:v>Buildings / building systems</x:v>
      </x:c>
      <x:c r="H416" s="7" t="str">
        <x:v>KGW November 2023 report; estimate dates not supplied</x:v>
      </x:c>
      <x:c r="I416" s="7" t="str">
        <x:v>https://flo.uri.sh/visualisation/15494950/embed</x:v>
      </x:c>
    </x:row>
    <x:row r="417" ht="46" customHeight="1">
      <x:c r="A417" s="8" t="n">
        <x:v>413</x:v>
      </x:c>
      <x:c r="B417" s="11" t="str">
        <x:v>Grant Park</x:v>
      </x:c>
      <x:c r="C417" s="11" t="str">
        <x:v>ESPC-III_Buildings Lighting to LEDs</x:v>
      </x:c>
      <x:c r="D417" s="11" t="str">
        <x:v>Restroom - Storage</x:v>
      </x:c>
      <x:c r="E417" s="11" t="str">
        <x:v>LED conversion for Exterior and Interior Lights</x:v>
      </x:c>
      <x:c r="F417" s="20" t="n">
        <x:v>11760</x:v>
      </x:c>
      <x:c r="G417" s="8" t="str">
        <x:v>Buildings / building systems</x:v>
      </x:c>
      <x:c r="H417" s="8" t="str">
        <x:v>KGW November 2023 report; estimate dates not supplied</x:v>
      </x:c>
      <x:c r="I417" s="8" t="str">
        <x:v>https://flo.uri.sh/visualisation/15494950/embed</x:v>
      </x:c>
    </x:row>
    <x:row r="418" ht="46" customHeight="1">
      <x:c r="A418" s="7" t="n">
        <x:v>414</x:v>
      </x:c>
      <x:c r="B418" s="12" t="str">
        <x:v>Grant Park</x:v>
      </x:c>
      <x:c r="C418" s="12" t="str">
        <x:v>Grant Bowl Artificial Turf field Replacement</x:v>
      </x:c>
      <x:c r="D418" s="12" t="str">
        <x:v>Sport Field</x:v>
      </x:c>
      <x:c r="E418" s="12" t="str">
        <x:v>Turf field installed in 2013 and need replacement every 10 years</x:v>
      </x:c>
      <x:c r="F418" s="21" t="n">
        <x:v>1530003</x:v>
      </x:c>
      <x:c r="G418" s="7" t="str">
        <x:v>Fields / courts / play</x:v>
      </x:c>
      <x:c r="H418" s="7" t="str">
        <x:v>KGW November 2023 report; estimate dates not supplied</x:v>
      </x:c>
      <x:c r="I418" s="7" t="str">
        <x:v>https://flo.uri.sh/visualisation/15494950/embed</x:v>
      </x:c>
    </x:row>
    <x:row r="419" ht="46" customHeight="1">
      <x:c r="A419" s="8" t="n">
        <x:v>415</x:v>
      </x:c>
      <x:c r="B419" s="11" t="str">
        <x:v>Grant Park</x:v>
      </x:c>
      <x:c r="C419" s="11" t="str">
        <x:v>Renovate Beverly Cleary Sculpture Garden</x:v>
      </x:c>
      <x:c r="D419" s="11" t="str">
        <x:v>Fountain</x:v>
      </x:c>
      <x:c r="E419" s="11" t="str">
        <x:v>The fountain n is currently operated as a splash and has the following defects:
- There are several plaques and bricks that are chipped in the corners and the original plaque giving credit to the designers and architects is missing.
- The pad on west side need to be longer, water spray on the dirt and then mud flows into fountain system.
- The whole mechanical and drainage system is old and need to replace by new and more efficient one.
- 	Maintenance removes and drains all standing water daily during peak season.
- 	There are missing maps and wayfinding signage which are the responsibility of RAC
Repairs and solutions:
- 	Repairs include updating and sewer line installation, upgrades include expansion of splash pad.  
- 	Replacing the grates which are not ADA accessible.
- 	Repair the drainage
- Work with Architect and/or designing firm to find alternative  to plaques and bricks that are chipped or missing 
- 	Large tree removal required. 
- 	The adjacent wading pool has been decommissioned and should be removed.</x:v>
      </x:c>
      <x:c r="F419" s="20" t="n">
        <x:v>1093464</x:v>
      </x:c>
      <x:c r="G419" s="8" t="str">
        <x:v>Pools / aquatics</x:v>
      </x:c>
      <x:c r="H419" s="8" t="str">
        <x:v>KGW November 2023 report; estimate dates not supplied</x:v>
      </x:c>
      <x:c r="I419" s="8" t="str">
        <x:v>https://flo.uri.sh/visualisation/15494950/embed</x:v>
      </x:c>
    </x:row>
    <x:row r="420" ht="46" customHeight="1">
      <x:c r="A420" s="7" t="n">
        <x:v>416</x:v>
      </x:c>
      <x:c r="B420" s="12" t="str">
        <x:v>Green Thumb</x:v>
      </x:c>
      <x:c r="C420" s="12" t="str">
        <x:v>Renovate parking lot_Parking Area A</x:v>
      </x:c>
      <x:c r="D420" s="12" t="str">
        <x:v>Parking Area A</x:v>
      </x:c>
      <x:c r="E420" s="12" t="str">
        <x:v>Repair parking lot that was rated 5 in condition assessment. Repair include surface, drainage and curb. approx area= 11044 sq.ft</x:v>
      </x:c>
      <x:c r="F420" s="21" t="n">
        <x:v>301078</x:v>
      </x:c>
      <x:c r="G420" s="7" t="str">
        <x:v>Utilities / lighting / drainage</x:v>
      </x:c>
      <x:c r="H420" s="7" t="str">
        <x:v>KGW November 2023 report; estimate dates not supplied</x:v>
      </x:c>
      <x:c r="I420" s="7" t="str">
        <x:v>https://flo.uri.sh/visualisation/15494950/embed</x:v>
      </x:c>
    </x:row>
    <x:row r="421" ht="46" customHeight="1">
      <x:c r="A421" s="8" t="n">
        <x:v>417</x:v>
      </x:c>
      <x:c r="B421" s="11" t="str">
        <x:v>Hamilton Park</x:v>
      </x:c>
      <x:c r="C421" s="11" t="str">
        <x:v>Ecological Restoration_ Hamilton Park</x:v>
      </x:c>
      <x:c r="D421" s="11" t="str"/>
      <x:c r="E421" s="11" t="str">
        <x:v>Placholder for Ecological health restoration</x:v>
      </x:c>
      <x:c r="F421" s="20" t="n">
        <x:v>147006</x:v>
      </x:c>
      <x:c r="G421" s="8" t="str">
        <x:v>Other site infrastructure</x:v>
      </x:c>
      <x:c r="H421" s="8" t="str">
        <x:v>KGW November 2023 report; estimate dates not supplied</x:v>
      </x:c>
      <x:c r="I421" s="8" t="str">
        <x:v>https://flo.uri.sh/visualisation/15494950/embed</x:v>
      </x:c>
    </x:row>
    <x:row r="422" ht="46" customHeight="1">
      <x:c r="A422" s="7" t="n">
        <x:v>418</x:v>
      </x:c>
      <x:c r="B422" s="12" t="str">
        <x:v>Hancock Park</x:v>
      </x:c>
      <x:c r="C422" s="12" t="str">
        <x:v>Playground renovation</x:v>
      </x:c>
      <x:c r="D422" s="12" t="str">
        <x:v>Play Area A</x:v>
      </x:c>
      <x:c r="E422" s="12" t="str">
        <x:v>- Renovation or repair playground that was rated as 4 during playground assessment in 2020
- Potentially joining Metro Bond Local Share Pathways Work.</x:v>
      </x:c>
      <x:c r="F422" s="21" t="n">
        <x:v>328039</x:v>
      </x:c>
      <x:c r="G422" s="7" t="str">
        <x:v>Paths / access / bridges</x:v>
      </x:c>
      <x:c r="H422" s="7" t="str">
        <x:v>KGW November 2023 report; estimate dates not supplied</x:v>
      </x:c>
      <x:c r="I422" s="7" t="str">
        <x:v>https://flo.uri.sh/visualisation/15494950/embed</x:v>
      </x:c>
    </x:row>
    <x:row r="423" ht="46" customHeight="1">
      <x:c r="A423" s="8" t="n">
        <x:v>419</x:v>
      </x:c>
      <x:c r="B423" s="11" t="str">
        <x:v>Harney Park</x:v>
      </x:c>
      <x:c r="C423" s="11" t="str">
        <x:v>Restroom Renovation</x:v>
      </x:c>
      <x:c r="D423" s="11" t="str">
        <x:v>Restroom A</x:v>
      </x:c>
      <x:c r="E423" s="11" t="str">
        <x:v>Renovate buildings rated 4 or 5 in condition asessment</x:v>
      </x:c>
      <x:c r="F423" s="20" t="n">
        <x:v>94598</x:v>
      </x:c>
      <x:c r="G423" s="8" t="str">
        <x:v>Buildings / building systems</x:v>
      </x:c>
      <x:c r="H423" s="8" t="str">
        <x:v>KGW November 2023 report; estimate dates not supplied</x:v>
      </x:c>
      <x:c r="I423" s="8" t="str">
        <x:v>https://flo.uri.sh/visualisation/15494950/embed</x:v>
      </x:c>
    </x:row>
    <x:row r="424" ht="46" customHeight="1">
      <x:c r="A424" s="7" t="n">
        <x:v>420</x:v>
      </x:c>
      <x:c r="B424" s="12" t="str">
        <x:v>Harney Park</x:v>
      </x:c>
      <x:c r="C424" s="12" t="str">
        <x:v>Pathway Renovation</x:v>
      </x:c>
      <x:c r="D424" s="12" t="str">
        <x:v>Harney Park</x:v>
      </x:c>
      <x:c r="E424" s="12" t="str">
        <x:v>Pathway:
- Replace the damaged pathway, trails and sidewalks that have been rated as 4 and 5 in Pathway assessment
- The concrete path leading to the basketball courts near the bike lock up. Most of the pathway is in need of replacement 400’x8’wide
Sidewalk:
- Report from PDX Reporter that there is a hazardous raised/sunken sidewalk just north of the soccer firld, towards the middle of the park</x:v>
      </x:c>
      <x:c r="F424" s="21" t="n">
        <x:v>238761</x:v>
      </x:c>
      <x:c r="G424" s="7" t="str">
        <x:v>Paths / access / bridges</x:v>
      </x:c>
      <x:c r="H424" s="7" t="str">
        <x:v>KGW November 2023 report; estimate dates not supplied</x:v>
      </x:c>
      <x:c r="I424" s="7" t="str">
        <x:v>https://flo.uri.sh/visualisation/15494950/embed</x:v>
      </x:c>
    </x:row>
    <x:row r="425" ht="46" customHeight="1">
      <x:c r="A425" s="8" t="n">
        <x:v>421</x:v>
      </x:c>
      <x:c r="B425" s="11" t="str">
        <x:v>Harney Park</x:v>
      </x:c>
      <x:c r="C425" s="11" t="str">
        <x:v>Repair Nike basketball surface</x:v>
      </x:c>
      <x:c r="D425" s="11" t="str">
        <x:v>Harney Park</x:v>
      </x:c>
      <x:c r="E425" s="11" t="str">
        <x:v>The new Nike basketball court surface is peeling and needs repaired before the damage spreads</x:v>
      </x:c>
      <x:c r="F425" s="20" t="n">
        <x:v>23521</x:v>
      </x:c>
      <x:c r="G425" s="8" t="str">
        <x:v>Fields / courts / play</x:v>
      </x:c>
      <x:c r="H425" s="8" t="str">
        <x:v>KGW November 2023 report; estimate dates not supplied</x:v>
      </x:c>
      <x:c r="I425" s="8" t="str">
        <x:v>https://flo.uri.sh/visualisation/15494950/embed</x:v>
      </x:c>
    </x:row>
    <x:row r="426" ht="46" customHeight="1">
      <x:c r="A426" s="7" t="n">
        <x:v>422</x:v>
      </x:c>
      <x:c r="B426" s="12" t="str">
        <x:v>Harney Park</x:v>
      </x:c>
      <x:c r="C426" s="12" t="str">
        <x:v>Renovate parking lot_Parking Area A</x:v>
      </x:c>
      <x:c r="D426" s="12" t="str">
        <x:v>Parking Area A</x:v>
      </x:c>
      <x:c r="E426" s="12" t="str">
        <x:v>Repair parking lot that was rated 4 in condition assessment. Repair include surface, drainage and curb. approx area= 13128 sq.ft</x:v>
      </x:c>
      <x:c r="F426" s="21" t="n">
        <x:v>214636</x:v>
      </x:c>
      <x:c r="G426" s="7" t="str">
        <x:v>Utilities / lighting / drainage</x:v>
      </x:c>
      <x:c r="H426" s="7" t="str">
        <x:v>KGW November 2023 report; estimate dates not supplied</x:v>
      </x:c>
      <x:c r="I426" s="7" t="str">
        <x:v>https://flo.uri.sh/visualisation/15494950/embed</x:v>
      </x:c>
    </x:row>
    <x:row r="427" ht="46" customHeight="1">
      <x:c r="A427" s="8" t="n">
        <x:v>423</x:v>
      </x:c>
      <x:c r="B427" s="11" t="str">
        <x:v>Harney Park</x:v>
      </x:c>
      <x:c r="C427" s="11" t="str">
        <x:v>Playground swingset replacement (includes adding A</x:v>
      </x:c>
      <x:c r="D427" s="11" t="str">
        <x:v>Harney Park</x:v>
      </x:c>
      <x:c r="E427" s="11" t="str">
        <x:v>- Replace older swing sets at several parks.  Includes adding ADA swing set, improved ADA access, proper footprint sizing.  These swing sets are deteriorating and are beyond their useful life.  Note that these improvements could trigger the requirement to bring other aspects of the park up to ADA.
- Play Structure- decks panels and steps are rusting and protective vinyl coating is lifting and peeling off. Expanded metal is warped on multiple deck panels. These panels are no longer manufactured.  
- Removal and replacement of existing Wildwood play structures.  Wildwood play equipment is no longer manufactured.  Structures have outlived their useful life.    Note that these improvements could trigger the requirement to bring other aspects of the park up to ADA.</x:v>
      </x:c>
      <x:c r="F427" s="20" t="n">
        <x:v>20845</x:v>
      </x:c>
      <x:c r="G427" s="8" t="str">
        <x:v>Paths / access / bridges</x:v>
      </x:c>
      <x:c r="H427" s="8" t="str">
        <x:v>KGW November 2023 report; estimate dates not supplied</x:v>
      </x:c>
      <x:c r="I427" s="8" t="str">
        <x:v>https://flo.uri.sh/visualisation/15494950/embed</x:v>
      </x:c>
    </x:row>
    <x:row r="428" ht="46" customHeight="1">
      <x:c r="A428" s="7" t="n">
        <x:v>424</x:v>
      </x:c>
      <x:c r="B428" s="12" t="str">
        <x:v>Harney Park</x:v>
      </x:c>
      <x:c r="C428" s="12" t="str">
        <x:v>ESPC-III_Buildings Lighting to LEDs</x:v>
      </x:c>
      <x:c r="D428" s="12" t="str">
        <x:v>Restroom - Storage</x:v>
      </x:c>
      <x:c r="E428" s="12" t="str">
        <x:v>LED conversion for Exterior and Interior Lights</x:v>
      </x:c>
      <x:c r="F428" s="21" t="n">
        <x:v>11760</x:v>
      </x:c>
      <x:c r="G428" s="7" t="str">
        <x:v>Buildings / building systems</x:v>
      </x:c>
      <x:c r="H428" s="7" t="str">
        <x:v>KGW November 2023 report; estimate dates not supplied</x:v>
      </x:c>
      <x:c r="I428" s="7" t="str">
        <x:v>https://flo.uri.sh/visualisation/15494950/embed</x:v>
      </x:c>
    </x:row>
    <x:row r="429" ht="46" customHeight="1">
      <x:c r="A429" s="8" t="n">
        <x:v>425</x:v>
      </x:c>
      <x:c r="B429" s="11" t="str">
        <x:v>Harrison Park</x:v>
      </x:c>
      <x:c r="C429" s="11" t="str">
        <x:v>Playground renovation</x:v>
      </x:c>
      <x:c r="D429" s="11" t="str">
        <x:v>Play Area A</x:v>
      </x:c>
      <x:c r="E429" s="11" t="str">
        <x:v>Renovation or repair playground that was rated as 5 during playground assessment in 2020</x:v>
      </x:c>
      <x:c r="F429" s="20" t="n">
        <x:v>223788</x:v>
      </x:c>
      <x:c r="G429" s="8" t="str">
        <x:v>Fields / courts / play</x:v>
      </x:c>
      <x:c r="H429" s="8" t="str">
        <x:v>KGW November 2023 report; estimate dates not supplied</x:v>
      </x:c>
      <x:c r="I429" s="8" t="str">
        <x:v>https://flo.uri.sh/visualisation/15494950/embed</x:v>
      </x:c>
    </x:row>
    <x:row r="430" ht="46" customHeight="1">
      <x:c r="A430" s="7" t="n">
        <x:v>426</x:v>
      </x:c>
      <x:c r="B430" s="12" t="str">
        <x:v>Harrison Park</x:v>
      </x:c>
      <x:c r="C430" s="12" t="str">
        <x:v>Pathway Renovation</x:v>
      </x:c>
      <x:c r="D430" s="12" t="str">
        <x:v>Internal Pathway/ Sidewalk</x:v>
      </x:c>
      <x:c r="E430" s="12" t="str">
        <x:v>Replace the damaged pathway, trails and sidewalks that have been rated as 4 and 5 in Pathway assessment</x:v>
      </x:c>
      <x:c r="F430" s="21" t="n">
        <x:v>18766</x:v>
      </x:c>
      <x:c r="G430" s="7" t="str">
        <x:v>Paths / access / bridges</x:v>
      </x:c>
      <x:c r="H430" s="7" t="str">
        <x:v>KGW November 2023 report; estimate dates not supplied</x:v>
      </x:c>
      <x:c r="I430" s="7" t="str">
        <x:v>https://flo.uri.sh/visualisation/15494950/embed</x:v>
      </x:c>
    </x:row>
    <x:row r="431" ht="46" customHeight="1">
      <x:c r="A431" s="8" t="n">
        <x:v>427</x:v>
      </x:c>
      <x:c r="B431" s="11" t="str">
        <x:v>Harrison Park</x:v>
      </x:c>
      <x:c r="C431" s="11" t="str">
        <x:v>ESPC-III_Pathway Lighting to LEDs</x:v>
      </x:c>
      <x:c r="D431" s="11" t="str"/>
      <x:c r="E431" s="11" t="str">
        <x:v>Pathway Lighting Conversion to LEDs and Controls. Aprox: 3 Poles</x:v>
      </x:c>
      <x:c r="F431" s="20" t="n">
        <x:v>10584</x:v>
      </x:c>
      <x:c r="G431" s="8" t="str">
        <x:v>Paths / access / bridges</x:v>
      </x:c>
      <x:c r="H431" s="8" t="str">
        <x:v>KGW November 2023 report; estimate dates not supplied</x:v>
      </x:c>
      <x:c r="I431" s="8" t="str">
        <x:v>https://flo.uri.sh/visualisation/15494950/embed</x:v>
      </x:c>
    </x:row>
    <x:row r="432" ht="46" customHeight="1">
      <x:c r="A432" s="7" t="n">
        <x:v>428</x:v>
      </x:c>
      <x:c r="B432" s="12" t="str">
        <x:v>Hayhurst Elementary School</x:v>
      </x:c>
      <x:c r="C432" s="12" t="str">
        <x:v>Renovate irrigation at PPS Sports field</x:v>
      </x:c>
      <x:c r="D432" s="12" t="str"/>
      <x:c r="E432" s="12" t="str">
        <x:v>Renovate irrigation system at Hayhurst ES school field to provide more field capacity. Replaces CIP 2291, projects were split out by site.</x:v>
      </x:c>
      <x:c r="F432" s="21" t="n">
        <x:v>43294</x:v>
      </x:c>
      <x:c r="G432" s="7" t="str">
        <x:v>Fields / courts / play</x:v>
      </x:c>
      <x:c r="H432" s="7" t="str">
        <x:v>KGW November 2023 report; estimate dates not supplied</x:v>
      </x:c>
      <x:c r="I432" s="7" t="str">
        <x:v>https://flo.uri.sh/visualisation/15494950/embed</x:v>
      </x:c>
    </x:row>
    <x:row r="433" ht="46" customHeight="1">
      <x:c r="A433" s="8" t="n">
        <x:v>429</x:v>
      </x:c>
      <x:c r="B433" s="11" t="str">
        <x:v>Hazeltine Park</x:v>
      </x:c>
      <x:c r="C433" s="11" t="str">
        <x:v>Pathway Renovation</x:v>
      </x:c>
      <x:c r="D433" s="11" t="str"/>
      <x:c r="E433" s="11" t="str">
        <x:v>Replace the damaged pathway, trails and sidewalks that have been rated as 5 in Pathway assessment.</x:v>
      </x:c>
      <x:c r="F433" s="20" t="n">
        <x:v>11760</x:v>
      </x:c>
      <x:c r="G433" s="8" t="str">
        <x:v>Paths / access / bridges</x:v>
      </x:c>
      <x:c r="H433" s="8" t="str">
        <x:v>KGW November 2023 report; estimate dates not supplied</x:v>
      </x:c>
      <x:c r="I433" s="8" t="str">
        <x:v>https://flo.uri.sh/visualisation/15494950/embed</x:v>
      </x:c>
    </x:row>
    <x:row r="434" ht="46" customHeight="1">
      <x:c r="A434" s="7" t="n">
        <x:v>430</x:v>
      </x:c>
      <x:c r="B434" s="12" t="str">
        <x:v>Healy Heights Park</x:v>
      </x:c>
      <x:c r="C434" s="12" t="str">
        <x:v>Replace deteriorating whirl play equipment</x:v>
      </x:c>
      <x:c r="D434" s="12" t="str">
        <x:v>Playground</x:v>
      </x:c>
      <x:c r="E434" s="12" t="str">
        <x:v>The whirl and rubber surface are in very bad condition and they present safety issue</x:v>
      </x:c>
      <x:c r="F434" s="21" t="n">
        <x:v>32804</x:v>
      </x:c>
      <x:c r="G434" s="7" t="str">
        <x:v>Fields / courts / play</x:v>
      </x:c>
      <x:c r="H434" s="7" t="str">
        <x:v>KGW November 2023 report; estimate dates not supplied</x:v>
      </x:c>
      <x:c r="I434" s="7" t="str">
        <x:v>https://flo.uri.sh/visualisation/15494950/embed</x:v>
      </x:c>
    </x:row>
    <x:row r="435" ht="46" customHeight="1">
      <x:c r="A435" s="8" t="n">
        <x:v>431</x:v>
      </x:c>
      <x:c r="B435" s="11" t="str">
        <x:v>Healy Heights Park</x:v>
      </x:c>
      <x:c r="C435" s="11" t="str">
        <x:v>Playground Expansion</x:v>
      </x:c>
      <x:c r="D435" s="11" t="str">
        <x:v>Healy Heights Park</x:v>
      </x:c>
      <x:c r="E435" s="11" t="str">
        <x:v>Site needs small free play area per Technical Paper.  Needs whirly, PIP, and swingset replaced.</x:v>
      </x:c>
      <x:c r="F435" s="20" t="n">
        <x:v>193353</x:v>
      </x:c>
      <x:c r="G435" s="8" t="str">
        <x:v>Fields / courts / play</x:v>
      </x:c>
      <x:c r="H435" s="8" t="str">
        <x:v>KGW November 2023 report; estimate dates not supplied</x:v>
      </x:c>
      <x:c r="I435" s="8" t="str">
        <x:v>https://flo.uri.sh/visualisation/15494950/embed</x:v>
      </x:c>
    </x:row>
    <x:row r="436" ht="46" customHeight="1">
      <x:c r="A436" s="7" t="n">
        <x:v>432</x:v>
      </x:c>
      <x:c r="B436" s="12" t="str">
        <x:v>Healy Heights Park</x:v>
      </x:c>
      <x:c r="C436" s="12" t="str">
        <x:v>ESPC-III_Pathway Lighting to LEDs</x:v>
      </x:c>
      <x:c r="D436" s="12" t="str"/>
      <x:c r="E436" s="12" t="str">
        <x:v>Pathway Lighting Conversion to LEDs and Controls. Aprox: 3 Poles</x:v>
      </x:c>
      <x:c r="F436" s="21" t="n">
        <x:v>10584</x:v>
      </x:c>
      <x:c r="G436" s="7" t="str">
        <x:v>Paths / access / bridges</x:v>
      </x:c>
      <x:c r="H436" s="7" t="str">
        <x:v>KGW November 2023 report; estimate dates not supplied</x:v>
      </x:c>
      <x:c r="I436" s="7" t="str">
        <x:v>https://flo.uri.sh/visualisation/15494950/embed</x:v>
      </x:c>
    </x:row>
    <x:row r="437" ht="46" customHeight="1">
      <x:c r="A437" s="8" t="n">
        <x:v>433</x:v>
      </x:c>
      <x:c r="B437" s="11" t="str">
        <x:v>Heritage Tree Park</x:v>
      </x:c>
      <x:c r="C437" s="11" t="str">
        <x:v>Pathway Renovation</x:v>
      </x:c>
      <x:c r="D437" s="11" t="str">
        <x:v>Internal Pathway/ Sidewalk</x:v>
      </x:c>
      <x:c r="E437" s="11" t="str">
        <x:v>Replace the damaged pathway, trails and sidewalks that have been rated as 4 and 5 in Pathway assessment</x:v>
      </x:c>
      <x:c r="F437" s="20" t="n">
        <x:v>21099</x:v>
      </x:c>
      <x:c r="G437" s="8" t="str">
        <x:v>Paths / access / bridges</x:v>
      </x:c>
      <x:c r="H437" s="8" t="str">
        <x:v>KGW November 2023 report; estimate dates not supplied</x:v>
      </x:c>
      <x:c r="I437" s="8" t="str">
        <x:v>https://flo.uri.sh/visualisation/15494950/embed</x:v>
      </x:c>
    </x:row>
    <x:row r="438" ht="46" customHeight="1">
      <x:c r="A438" s="7" t="n">
        <x:v>434</x:v>
      </x:c>
      <x:c r="B438" s="12" t="str">
        <x:v>Heron Lakes Golf Course</x:v>
      </x:c>
      <x:c r="C438" s="12" t="str">
        <x:v>Renovate parking lot_Parking Area D</x:v>
      </x:c>
      <x:c r="D438" s="12" t="str">
        <x:v>Parking Area D</x:v>
      </x:c>
      <x:c r="E438" s="12" t="str">
        <x:v>Repair parking lot that was rated 5 in condition assessment. Repair include surface, drainage and curb. approx area= 31232 sq.ft</x:v>
      </x:c>
      <x:c r="F438" s="21" t="n">
        <x:v>851431</x:v>
      </x:c>
      <x:c r="G438" s="7" t="str">
        <x:v>Utilities / lighting / drainage</x:v>
      </x:c>
      <x:c r="H438" s="7" t="str">
        <x:v>KGW November 2023 report; estimate dates not supplied</x:v>
      </x:c>
      <x:c r="I438" s="7" t="str">
        <x:v>https://flo.uri.sh/visualisation/15494950/embed</x:v>
      </x:c>
    </x:row>
    <x:row r="439" ht="46" customHeight="1">
      <x:c r="A439" s="8" t="n">
        <x:v>435</x:v>
      </x:c>
      <x:c r="B439" s="11" t="str">
        <x:v>Heron Lakes Golf Course</x:v>
      </x:c>
      <x:c r="C439" s="11" t="str">
        <x:v>Renovate roof and buidling</x:v>
      </x:c>
      <x:c r="D439" s="11" t="str">
        <x:v>Main Office and Pump house 1</x:v>
      </x:c>
      <x:c r="E439" s="11" t="str">
        <x:v>Roof and structure in Bad condition and rated as bad through condition aseesment</x:v>
      </x:c>
      <x:c r="F439" s="20" t="n">
        <x:v>59967</x:v>
      </x:c>
      <x:c r="G439" s="8" t="str">
        <x:v>Buildings / building systems</x:v>
      </x:c>
      <x:c r="H439" s="8" t="str">
        <x:v>KGW November 2023 report; estimate dates not supplied</x:v>
      </x:c>
      <x:c r="I439" s="8" t="str">
        <x:v>https://flo.uri.sh/visualisation/15494950/embed</x:v>
      </x:c>
    </x:row>
    <x:row r="440" ht="46" customHeight="1">
      <x:c r="A440" s="7" t="n">
        <x:v>436</x:v>
      </x:c>
      <x:c r="B440" s="12" t="str">
        <x:v>Heron Lakes Golf Course</x:v>
      </x:c>
      <x:c r="C440" s="12" t="str">
        <x:v>Pavilion Design &amp; Construction</x:v>
      </x:c>
      <x:c r="D440" s="12" t="str">
        <x:v>Heron Lakes Golf Course</x:v>
      </x:c>
      <x:c r="E440" s="12" t="str"/>
      <x:c r="F440" s="21" t="n">
        <x:v>59967</x:v>
      </x:c>
      <x:c r="G440" s="7" t="str">
        <x:v>Other site infrastructure</x:v>
      </x:c>
      <x:c r="H440" s="7" t="str">
        <x:v>KGW November 2023 report; estimate dates not supplied</x:v>
      </x:c>
      <x:c r="I440" s="7" t="str">
        <x:v>https://flo.uri.sh/visualisation/15494950/embed</x:v>
      </x:c>
    </x:row>
    <x:row r="441" ht="46" customHeight="1">
      <x:c r="A441" s="8" t="n">
        <x:v>437</x:v>
      </x:c>
      <x:c r="B441" s="11" t="str">
        <x:v>Heron Lakes Golf Course</x:v>
      </x:c>
      <x:c r="C441" s="11" t="str">
        <x:v>Renovate electrical and mechanical equipment</x:v>
      </x:c>
      <x:c r="D441" s="11" t="str">
        <x:v>Clubhouse and main office</x:v>
      </x:c>
      <x:c r="E441" s="11" t="str">
        <x:v>Electrical and mechanical equipment’s passed 25 year of service and need to replace.</x:v>
      </x:c>
      <x:c r="F441" s="20" t="n">
        <x:v>50000</x:v>
      </x:c>
      <x:c r="G441" s="8" t="str">
        <x:v>Buildings / building systems</x:v>
      </x:c>
      <x:c r="H441" s="8" t="str">
        <x:v>KGW November 2023 report; estimate dates not supplied</x:v>
      </x:c>
      <x:c r="I441" s="8" t="str">
        <x:v>https://flo.uri.sh/visualisation/15494950/embed</x:v>
      </x:c>
    </x:row>
    <x:row r="442" ht="46" customHeight="1">
      <x:c r="A442" s="7" t="n">
        <x:v>438</x:v>
      </x:c>
      <x:c r="B442" s="12" t="str">
        <x:v>Heron Lakes Golf Course</x:v>
      </x:c>
      <x:c r="C442" s="12" t="str">
        <x:v>Renovate the Roof of Utility building</x:v>
      </x:c>
      <x:c r="D442" s="12" t="str">
        <x:v>Pumphouse #1</x:v>
      </x:c>
      <x:c r="E442" s="12" t="str">
        <x:v>Fix or replace the Roof that is rated 4 through buildings' assessment</x:v>
      </x:c>
      <x:c r="F442" s="21" t="n">
        <x:v>46727</x:v>
      </x:c>
      <x:c r="G442" s="7" t="str">
        <x:v>Buildings / building systems</x:v>
      </x:c>
      <x:c r="H442" s="7" t="str">
        <x:v>KGW November 2023 report; estimate dates not supplied</x:v>
      </x:c>
      <x:c r="I442" s="7" t="str">
        <x:v>https://flo.uri.sh/visualisation/15494950/embed</x:v>
      </x:c>
    </x:row>
    <x:row r="443" ht="46" customHeight="1">
      <x:c r="A443" s="8" t="n">
        <x:v>439</x:v>
      </x:c>
      <x:c r="B443" s="11" t="str">
        <x:v>Heron Lakes Golf Course</x:v>
      </x:c>
      <x:c r="C443" s="11" t="str">
        <x:v>Pathway Renovation</x:v>
      </x:c>
      <x:c r="D443" s="11" t="str">
        <x:v>Heron Lakes Golf Course</x:v>
      </x:c>
      <x:c r="E443" s="11" t="str">
        <x:v>Replace the damaged pathway, trails and sidewalks that have been rated as 4 and 5 in Pathway assessment</x:v>
      </x:c>
      <x:c r="F443" s="20" t="n">
        <x:v>3943338</x:v>
      </x:c>
      <x:c r="G443" s="8" t="str">
        <x:v>Paths / access / bridges</x:v>
      </x:c>
      <x:c r="H443" s="8" t="str">
        <x:v>KGW November 2023 report; estimate dates not supplied</x:v>
      </x:c>
      <x:c r="I443" s="8" t="str">
        <x:v>https://flo.uri.sh/visualisation/15494950/embed</x:v>
      </x:c>
    </x:row>
    <x:row r="444" ht="46" customHeight="1">
      <x:c r="A444" s="7" t="n">
        <x:v>440</x:v>
      </x:c>
      <x:c r="B444" s="12" t="str">
        <x:v>Heron Lakes Golf Course</x:v>
      </x:c>
      <x:c r="C444" s="12" t="str">
        <x:v>Renovate the Structure of Restroom building</x:v>
      </x:c>
      <x:c r="D444" s="12" t="str">
        <x:v>Outdoor Restroom by Clubhouse</x:v>
      </x:c>
      <x:c r="E444" s="12" t="str">
        <x:v>Fix or replace the Structure that is rated 4 through buildings' assessment</x:v>
      </x:c>
      <x:c r="F444" s="21" t="n">
        <x:v>29619</x:v>
      </x:c>
      <x:c r="G444" s="7" t="str">
        <x:v>Buildings / building systems</x:v>
      </x:c>
      <x:c r="H444" s="7" t="str">
        <x:v>KGW November 2023 report; estimate dates not supplied</x:v>
      </x:c>
      <x:c r="I444" s="7" t="str">
        <x:v>https://flo.uri.sh/visualisation/15494950/embed</x:v>
      </x:c>
    </x:row>
    <x:row r="445" ht="46" customHeight="1">
      <x:c r="A445" s="8" t="n">
        <x:v>441</x:v>
      </x:c>
      <x:c r="B445" s="11" t="str">
        <x:v>Heron Lakes Golf Course</x:v>
      </x:c>
      <x:c r="C445" s="11" t="str">
        <x:v>Replace old HVAC system</x:v>
      </x:c>
      <x:c r="D445" s="11" t="str">
        <x:v>Clubhouse</x:v>
      </x:c>
      <x:c r="E445" s="11" t="str">
        <x:v>Placeholder: replace HVAC system that was installed before 2000</x:v>
      </x:c>
      <x:c r="F445" s="20" t="n">
        <x:v>23934</x:v>
      </x:c>
      <x:c r="G445" s="8" t="str">
        <x:v>Buildings / building systems</x:v>
      </x:c>
      <x:c r="H445" s="8" t="str">
        <x:v>KGW November 2023 report; estimate dates not supplied</x:v>
      </x:c>
      <x:c r="I445" s="8" t="str">
        <x:v>https://flo.uri.sh/visualisation/15494950/embed</x:v>
      </x:c>
    </x:row>
    <x:row r="446" ht="46" customHeight="1">
      <x:c r="A446" s="7" t="n">
        <x:v>442</x:v>
      </x:c>
      <x:c r="B446" s="12" t="str">
        <x:v>Heron Lakes Golf Course</x:v>
      </x:c>
      <x:c r="C446" s="12" t="str">
        <x:v>ESPC-III_Buildings Lighting to LEDs</x:v>
      </x:c>
      <x:c r="D446" s="12" t="str">
        <x:v>Utility</x:v>
      </x:c>
      <x:c r="E446" s="12" t="str">
        <x:v>LED conversion for Exterior and Interior Lights</x:v>
      </x:c>
      <x:c r="F446" s="21" t="n">
        <x:v>11760</x:v>
      </x:c>
      <x:c r="G446" s="7" t="str">
        <x:v>Buildings / building systems</x:v>
      </x:c>
      <x:c r="H446" s="7" t="str">
        <x:v>KGW November 2023 report; estimate dates not supplied</x:v>
      </x:c>
      <x:c r="I446" s="7" t="str">
        <x:v>https://flo.uri.sh/visualisation/15494950/embed</x:v>
      </x:c>
    </x:row>
    <x:row r="447" ht="46" customHeight="1">
      <x:c r="A447" s="8" t="n">
        <x:v>443</x:v>
      </x:c>
      <x:c r="B447" s="11" t="str">
        <x:v>Heron Lakes Golf Course</x:v>
      </x:c>
      <x:c r="C447" s="11" t="str">
        <x:v>ESPC-III_Buildings Lighting to LEDs</x:v>
      </x:c>
      <x:c r="D447" s="11" t="str">
        <x:v>Restroom</x:v>
      </x:c>
      <x:c r="E447" s="11" t="str">
        <x:v>LED conversion for Exterior and Interior Lights</x:v>
      </x:c>
      <x:c r="F447" s="20" t="n">
        <x:v>11760</x:v>
      </x:c>
      <x:c r="G447" s="8" t="str">
        <x:v>Buildings / building systems</x:v>
      </x:c>
      <x:c r="H447" s="8" t="str">
        <x:v>KGW November 2023 report; estimate dates not supplied</x:v>
      </x:c>
      <x:c r="I447" s="8" t="str">
        <x:v>https://flo.uri.sh/visualisation/15494950/embed</x:v>
      </x:c>
    </x:row>
    <x:row r="448" ht="46" customHeight="1">
      <x:c r="A448" s="7" t="n">
        <x:v>444</x:v>
      </x:c>
      <x:c r="B448" s="12" t="str">
        <x:v>Heron Lakes Golf Course</x:v>
      </x:c>
      <x:c r="C448" s="12" t="str">
        <x:v>Renovate parking lot_Parking Area C</x:v>
      </x:c>
      <x:c r="D448" s="12" t="str">
        <x:v>Parking Area C</x:v>
      </x:c>
      <x:c r="E448" s="12" t="str">
        <x:v>Repair parking lot that was rated 4 in condition assessment. Repair include surface, drainage and curb. approx area= 81017 sq.ft</x:v>
      </x:c>
      <x:c r="F448" s="21" t="n">
        <x:v>1324624</x:v>
      </x:c>
      <x:c r="G448" s="7" t="str">
        <x:v>Utilities / lighting / drainage</x:v>
      </x:c>
      <x:c r="H448" s="7" t="str">
        <x:v>KGW November 2023 report; estimate dates not supplied</x:v>
      </x:c>
      <x:c r="I448" s="7" t="str">
        <x:v>https://flo.uri.sh/visualisation/15494950/embed</x:v>
      </x:c>
    </x:row>
    <x:row r="449" ht="46" customHeight="1">
      <x:c r="A449" s="8" t="n">
        <x:v>445</x:v>
      </x:c>
      <x:c r="B449" s="11" t="str">
        <x:v>Hillsdale Park</x:v>
      </x:c>
      <x:c r="C449" s="11" t="str">
        <x:v>Playground renovation</x:v>
      </x:c>
      <x:c r="D449" s="11" t="str">
        <x:v>Play Area A</x:v>
      </x:c>
      <x:c r="E449" s="11" t="str">
        <x:v>Renovation or repair playground that was rated as 5 during playground assessment in 2020</x:v>
      </x:c>
      <x:c r="F449" s="20" t="n">
        <x:v>415574</x:v>
      </x:c>
      <x:c r="G449" s="8" t="str">
        <x:v>Fields / courts / play</x:v>
      </x:c>
      <x:c r="H449" s="8" t="str">
        <x:v>KGW November 2023 report; estimate dates not supplied</x:v>
      </x:c>
      <x:c r="I449" s="8" t="str">
        <x:v>https://flo.uri.sh/visualisation/15494950/embed</x:v>
      </x:c>
    </x:row>
    <x:row r="450" ht="46" customHeight="1">
      <x:c r="A450" s="7" t="n">
        <x:v>446</x:v>
      </x:c>
      <x:c r="B450" s="12" t="str">
        <x:v>Hillside Park</x:v>
      </x:c>
      <x:c r="C450" s="12" t="str">
        <x:v>Replace old HVAC system</x:v>
      </x:c>
      <x:c r="D450" s="12" t="str">
        <x:v>Hillside Community Center</x:v>
      </x:c>
      <x:c r="E450" s="12" t="str">
        <x:v>Placeholder: replace HVAC system that was installed before 2000</x:v>
      </x:c>
      <x:c r="F450" s="21" t="n">
        <x:v>81654</x:v>
      </x:c>
      <x:c r="G450" s="7" t="str">
        <x:v>Buildings / building systems</x:v>
      </x:c>
      <x:c r="H450" s="7" t="str">
        <x:v>KGW November 2023 report; estimate dates not supplied</x:v>
      </x:c>
      <x:c r="I450" s="7" t="str">
        <x:v>https://flo.uri.sh/visualisation/15494950/embed</x:v>
      </x:c>
    </x:row>
    <x:row r="451" ht="46" customHeight="1">
      <x:c r="A451" s="8" t="n">
        <x:v>447</x:v>
      </x:c>
      <x:c r="B451" s="11" t="str">
        <x:v>Hillside Park</x:v>
      </x:c>
      <x:c r="C451" s="11" t="str">
        <x:v>Replace the Boiler</x:v>
      </x:c>
      <x:c r="D451" s="11" t="str">
        <x:v>Hillside Community Center</x:v>
      </x:c>
      <x:c r="E451" s="11" t="str">
        <x:v>Boiler is leaking and will need to be replaced</x:v>
      </x:c>
      <x:c r="F451" s="20" t="n">
        <x:v>53970</x:v>
      </x:c>
      <x:c r="G451" s="8" t="str">
        <x:v>Buildings / building systems</x:v>
      </x:c>
      <x:c r="H451" s="8" t="str">
        <x:v>KGW November 2023 report; estimate dates not supplied</x:v>
      </x:c>
      <x:c r="I451" s="8" t="str">
        <x:v>https://flo.uri.sh/visualisation/15494950/embed</x:v>
      </x:c>
    </x:row>
    <x:row r="452" ht="46" customHeight="1">
      <x:c r="A452" s="7" t="n">
        <x:v>448</x:v>
      </x:c>
      <x:c r="B452" s="12" t="str">
        <x:v>Hillside Park</x:v>
      </x:c>
      <x:c r="C452" s="12" t="str">
        <x:v>Renovate electrical and mechanical equipment</x:v>
      </x:c>
      <x:c r="D452" s="12" t="str"/>
      <x:c r="E452" s="12" t="str">
        <x:v>Electrical and mechanical equipment’s passed 25 year of service and need to replace.</x:v>
      </x:c>
      <x:c r="F452" s="21" t="n">
        <x:v>50000</x:v>
      </x:c>
      <x:c r="G452" s="7" t="str">
        <x:v>Utilities / lighting / drainage</x:v>
      </x:c>
      <x:c r="H452" s="7" t="str">
        <x:v>KGW November 2023 report; estimate dates not supplied</x:v>
      </x:c>
      <x:c r="I452" s="7" t="str">
        <x:v>https://flo.uri.sh/visualisation/15494950/embed</x:v>
      </x:c>
    </x:row>
    <x:row r="453" ht="46" customHeight="1">
      <x:c r="A453" s="8" t="n">
        <x:v>449</x:v>
      </x:c>
      <x:c r="B453" s="11" t="str">
        <x:v>Hillside Park</x:v>
      </x:c>
      <x:c r="C453" s="11" t="str">
        <x:v>Path Repair and Repaving</x:v>
      </x:c>
      <x:c r="D453" s="11" t="str">
        <x:v>Hillside Park</x:v>
      </x:c>
      <x:c r="E453" s="11" t="str">
        <x:v>Level and repave the trail at Hillside Park.  Approx 4400 SF.  Replaces CIP 2279, projects were split out by site.</x:v>
      </x:c>
      <x:c r="F453" s="20" t="n">
        <x:v>48997</x:v>
      </x:c>
      <x:c r="G453" s="8" t="str">
        <x:v>Paths / access / bridges</x:v>
      </x:c>
      <x:c r="H453" s="8" t="str">
        <x:v>KGW November 2023 report; estimate dates not supplied</x:v>
      </x:c>
      <x:c r="I453" s="8" t="str">
        <x:v>https://flo.uri.sh/visualisation/15494950/embed</x:v>
      </x:c>
    </x:row>
    <x:row r="454" ht="46" customHeight="1">
      <x:c r="A454" s="7" t="n">
        <x:v>450</x:v>
      </x:c>
      <x:c r="B454" s="12" t="str">
        <x:v>Hillside Park</x:v>
      </x:c>
      <x:c r="C454" s="12" t="str">
        <x:v>Renovate retaining wall</x:v>
      </x:c>
      <x:c r="D454" s="12" t="str">
        <x:v>Retaining wall</x:v>
      </x:c>
      <x:c r="E454" s="12" t="str">
        <x:v>investigate and repair or replace retaining walls</x:v>
      </x:c>
      <x:c r="F454" s="21" t="n">
        <x:v>130000</x:v>
      </x:c>
      <x:c r="G454" s="7" t="str">
        <x:v>Other site infrastructure</x:v>
      </x:c>
      <x:c r="H454" s="7" t="str">
        <x:v>KGW November 2023 report; estimate dates not supplied</x:v>
      </x:c>
      <x:c r="I454" s="7" t="str">
        <x:v>https://flo.uri.sh/visualisation/15494950/embed</x:v>
      </x:c>
    </x:row>
    <x:row r="455" ht="46" customHeight="1">
      <x:c r="A455" s="8" t="n">
        <x:v>451</x:v>
      </x:c>
      <x:c r="B455" s="11" t="str">
        <x:v>Hillside Park</x:v>
      </x:c>
      <x:c r="C455" s="11" t="str">
        <x:v>Renovate parking lot_Parking Area E</x:v>
      </x:c>
      <x:c r="D455" s="11" t="str">
        <x:v>Parking Area E</x:v>
      </x:c>
      <x:c r="E455" s="11" t="str">
        <x:v>Repair parking lot that was rated 4 in condition assessment. Repair include surface, drainage and curb. approx area= 7336 sq.ft</x:v>
      </x:c>
      <x:c r="F455" s="20" t="n">
        <x:v>119948</x:v>
      </x:c>
      <x:c r="G455" s="8" t="str">
        <x:v>Utilities / lighting / drainage</x:v>
      </x:c>
      <x:c r="H455" s="8" t="str">
        <x:v>KGW November 2023 report; estimate dates not supplied</x:v>
      </x:c>
      <x:c r="I455" s="8" t="str">
        <x:v>https://flo.uri.sh/visualisation/15494950/embed</x:v>
      </x:c>
    </x:row>
    <x:row r="456" ht="46" customHeight="1">
      <x:c r="A456" s="7" t="n">
        <x:v>452</x:v>
      </x:c>
      <x:c r="B456" s="12" t="str">
        <x:v>Hillside Park</x:v>
      </x:c>
      <x:c r="C456" s="12" t="str">
        <x:v>ESPC-III_Buildings Lighting to LEDs</x:v>
      </x:c>
      <x:c r="D456" s="12" t="str">
        <x:v>Community Center</x:v>
      </x:c>
      <x:c r="E456" s="12" t="str">
        <x:v>LED conversion for Exterior and Interior Lights</x:v>
      </x:c>
      <x:c r="F456" s="21" t="n">
        <x:v>11760</x:v>
      </x:c>
      <x:c r="G456" s="7" t="str">
        <x:v>Buildings / building systems</x:v>
      </x:c>
      <x:c r="H456" s="7" t="str">
        <x:v>KGW November 2023 report; estimate dates not supplied</x:v>
      </x:c>
      <x:c r="I456" s="7" t="str">
        <x:v>https://flo.uri.sh/visualisation/15494950/embed</x:v>
      </x:c>
    </x:row>
    <x:row r="457" ht="46" customHeight="1">
      <x:c r="A457" s="8" t="n">
        <x:v>453</x:v>
      </x:c>
      <x:c r="B457" s="11" t="str">
        <x:v>Hillside Park</x:v>
      </x:c>
      <x:c r="C457" s="11" t="str">
        <x:v>Pathway Renovation</x:v>
      </x:c>
      <x:c r="D457" s="11" t="str">
        <x:v>Hillside Park</x:v>
      </x:c>
      <x:c r="E457" s="11" t="str">
        <x:v>Replace the damaged pathway, trails and sidewalks that have been rated as 4 and 5 in Pathway assessment</x:v>
      </x:c>
      <x:c r="F457" s="20" t="n">
        <x:v>107254</x:v>
      </x:c>
      <x:c r="G457" s="8" t="str">
        <x:v>Paths / access / bridges</x:v>
      </x:c>
      <x:c r="H457" s="8" t="str">
        <x:v>KGW November 2023 report; estimate dates not supplied</x:v>
      </x:c>
      <x:c r="I457" s="8" t="str">
        <x:v>https://flo.uri.sh/visualisation/15494950/embed</x:v>
      </x:c>
    </x:row>
    <x:row r="458" ht="46" customHeight="1">
      <x:c r="A458" s="7" t="n">
        <x:v>454</x:v>
      </x:c>
      <x:c r="B458" s="12" t="str">
        <x:v>Hillside Park</x:v>
      </x:c>
      <x:c r="C458" s="12" t="str">
        <x:v>Renovation of tennis courts</x:v>
      </x:c>
      <x:c r="D458" s="12" t="str">
        <x:v>Hillside Park</x:v>
      </x:c>
      <x:c r="E458" s="12" t="str">
        <x:v>Rebuild and resurface 1 Court. Priority 1</x:v>
      </x:c>
      <x:c r="F458" s="21" t="n">
        <x:v>100625</x:v>
      </x:c>
      <x:c r="G458" s="7" t="str">
        <x:v>Fields / courts / play</x:v>
      </x:c>
      <x:c r="H458" s="7" t="str">
        <x:v>KGW November 2023 report; estimate dates not supplied</x:v>
      </x:c>
      <x:c r="I458" s="7" t="str">
        <x:v>https://flo.uri.sh/visualisation/15494950/embed</x:v>
      </x:c>
    </x:row>
    <x:row r="459" ht="46" customHeight="1">
      <x:c r="A459" s="8" t="n">
        <x:v>455</x:v>
      </x:c>
      <x:c r="B459" s="11" t="str">
        <x:v>Holladay Park</x:v>
      </x:c>
      <x:c r="C459" s="11" t="str">
        <x:v>ESPC-III_Pathway Lighting to LEDs</x:v>
      </x:c>
      <x:c r="D459" s="11" t="str"/>
      <x:c r="E459" s="11" t="str">
        <x:v>Pathway Lighting Conversion to LEDs and Controls. Aprox: 40 Poles</x:v>
      </x:c>
      <x:c r="F459" s="20" t="n">
        <x:v>141126</x:v>
      </x:c>
      <x:c r="G459" s="8" t="str">
        <x:v>Paths / access / bridges</x:v>
      </x:c>
      <x:c r="H459" s="8" t="str">
        <x:v>KGW November 2023 report; estimate dates not supplied</x:v>
      </x:c>
      <x:c r="I459" s="8" t="str">
        <x:v>https://flo.uri.sh/visualisation/15494950/embed</x:v>
      </x:c>
    </x:row>
    <x:row r="460" ht="46" customHeight="1">
      <x:c r="A460" s="7" t="n">
        <x:v>456</x:v>
      </x:c>
      <x:c r="B460" s="12" t="str">
        <x:v>Horticultural Services - Work Unit</x:v>
      </x:c>
      <x:c r="C460" s="12" t="str">
        <x:v>Reroof Tabor Horticulture Building and Associated Repairs</x:v>
      </x:c>
      <x:c r="D460" s="12" t="str">
        <x:v>Horticulture Building</x:v>
      </x:c>
      <x:c r="E460" s="12" t="str">
        <x:v>The roof is just old and leaks a lot.  Roof contains asbestos, roof removal will likely trigger seismic URM upgrades and possibly historic design review.  Roof replacement can’t occur until the greenhouse structure is removed as part of the Tabor renovation</x:v>
      </x:c>
      <x:c r="F460" s="21" t="n">
        <x:v>54673</x:v>
      </x:c>
      <x:c r="G460" s="7" t="str">
        <x:v>Buildings / building systems</x:v>
      </x:c>
      <x:c r="H460" s="7" t="str">
        <x:v>KGW November 2023 report; estimate dates not supplied</x:v>
      </x:c>
      <x:c r="I460" s="7" t="str">
        <x:v>https://flo.uri.sh/visualisation/15494950/embed</x:v>
      </x:c>
    </x:row>
    <x:row r="461" ht="46" customHeight="1">
      <x:c r="A461" s="8" t="n">
        <x:v>457</x:v>
      </x:c>
      <x:c r="B461" s="11" t="str">
        <x:v>Hoyt Arboretum</x:v>
      </x:c>
      <x:c r="C461" s="11" t="str">
        <x:v>Provide ADA trail improvements</x:v>
      </x:c>
      <x:c r="D461" s="11" t="str">
        <x:v>Hoyt Arboretum</x:v>
      </x:c>
      <x:c r="E461" s="11" t="str">
        <x:v>Improve 2 existing trail segments to ADA standards to provide links between Visitor Ctr and 2 trails that are already ADA Accessible (Bristlecone Pine &amp; Bray)</x:v>
      </x:c>
      <x:c r="F461" s="20" t="n">
        <x:v>871566</x:v>
      </x:c>
      <x:c r="G461" s="8" t="str">
        <x:v>Paths / access / bridges</x:v>
      </x:c>
      <x:c r="H461" s="8" t="str">
        <x:v>KGW November 2023 report; estimate dates not supplied</x:v>
      </x:c>
      <x:c r="I461" s="8" t="str">
        <x:v>https://flo.uri.sh/visualisation/15494950/embed</x:v>
      </x:c>
    </x:row>
    <x:row r="462" ht="46" customHeight="1">
      <x:c r="A462" s="7" t="n">
        <x:v>458</x:v>
      </x:c>
      <x:c r="B462" s="12" t="str">
        <x:v>Hoyt Arboretum</x:v>
      </x:c>
      <x:c r="C462" s="12" t="str">
        <x:v>Workspace- MEP and interior development</x:v>
      </x:c>
      <x:c r="D462" s="12" t="str">
        <x:v>Visitor Center, ID-151</x:v>
      </x:c>
      <x:c r="E462" s="12" t="str">
        <x:v>Project components:
Improvement Type: Building, Category: MEP, Subcategory: Plumbing - Laundry, Description: Laundry Function (Washer/Dryer), Invest#: 151.1
Improvement Type: Building, Category: Relocation, Subcategory: NA, Description: Move City Nature West to a  Building in North/NW Portland, Invest#: 151.04
Improvement Type: Building, Category: Interior, Subcategory: Mudroom Functions, Description: Mudroom Function, Invest#: 151.09
Improvement Type: Building, Category: Safety, Subcategory: Pesticide room, Description: Pesticide Storage Room, Invest#: 151.11
Improvement Type: Building, Category: Interior, Subcategory: Private Office, Description: Private office for Supervisor, Invest#: 151.05
Improvement Type: Building, Category: Interior, Subcategory: Meeting Room, Description: Provide access to meeting space, Invest#: 151.03
Improvement Type: Building, Category: MEP, Subcategory: Plumbing, Description: Showers for Staff (OR Lockerroom), Invest#: 151.08
Improvement Type: Building, Category: Wellness, Subcategory: Wellness room, Description: Wellness/Lactation Trailer, Invest#: 151.01</x:v>
      </x:c>
      <x:c r="F462" s="21" t="n">
        <x:v>80000</x:v>
      </x:c>
      <x:c r="G462" s="7" t="str">
        <x:v>Buildings / building systems</x:v>
      </x:c>
      <x:c r="H462" s="7" t="str">
        <x:v>KGW November 2023 report; estimate dates not supplied</x:v>
      </x:c>
      <x:c r="I462" s="7" t="str">
        <x:v>https://flo.uri.sh/visualisation/15494950/embed</x:v>
      </x:c>
    </x:row>
    <x:row r="463" ht="46" customHeight="1">
      <x:c r="A463" s="8" t="n">
        <x:v>459</x:v>
      </x:c>
      <x:c r="B463" s="11" t="str">
        <x:v>Hoyt Arboretum</x:v>
      </x:c>
      <x:c r="C463" s="11" t="str">
        <x:v>Workspace-  Site Configuration and safety</x:v>
      </x:c>
      <x:c r="D463" s="11" t="str">
        <x:v>Property site</x:v>
      </x:c>
      <x:c r="E463" s="11" t="str">
        <x:v>Project components:
Improvement Type: Parking, Category: Site Configuration, Subcategory: Parking - Bike, Description: Enclosed Bike  Parking, Invest#: 151.08
Improvement Type: Parking, Category: Site Configuration, Subcategory: Parking, Description: Fleet  Parking, Invest#: 151.07
Improvement Type: Parking, Category: Site Configuration, Subcategory: Parking, Description: FTE Parking, Invest#: 151.06
Improvement Type: Site, Category: Fueling Access, Subcategory: NA, Description: Fueling Site Closer than Mt. Tabor, Invest#: 151.05
Improvement Type: Site, Category:  Hazardous Waste Access to, Subcategory: NA, Description: Hazardous Waste Site Closer than Mt. Tabor, Invest#: 151.04
Improvement Type: Site, Category: Storage - Outdoor, Subcategory: NA, Description: Location for Trailer on Site (See Above), Invest#: 151.01
Improvement Type: Site, Category: Safety, Subcategory: NA, Description: Provide additional lighting, Invest#: 151.02
Improvement Type: Site, Category: Safety, Subcategory: NA, Description: Security Cameras, Invest#: 151.03</x:v>
      </x:c>
      <x:c r="F463" s="20" t="n">
        <x:v>80000</x:v>
      </x:c>
      <x:c r="G463" s="8" t="str">
        <x:v>Buildings / building systems</x:v>
      </x:c>
      <x:c r="H463" s="8" t="str">
        <x:v>KGW November 2023 report; estimate dates not supplied</x:v>
      </x:c>
      <x:c r="I463" s="8" t="str">
        <x:v>https://flo.uri.sh/visualisation/15494950/embed</x:v>
      </x:c>
    </x:row>
    <x:row r="464" ht="46" customHeight="1">
      <x:c r="A464" s="7" t="n">
        <x:v>460</x:v>
      </x:c>
      <x:c r="B464" s="12" t="str">
        <x:v>Hoyt Arboretum</x:v>
      </x:c>
      <x:c r="C464" s="12" t="str">
        <x:v>Renovate parking lot_Parking Area N</x:v>
      </x:c>
      <x:c r="D464" s="12" t="str">
        <x:v>Parking Area N</x:v>
      </x:c>
      <x:c r="E464" s="12" t="str">
        <x:v>Repair parking lot that was rated 5 in condition assessment. Repair include surface, drainage and curb. approx area= 2793 sq.ft</x:v>
      </x:c>
      <x:c r="F464" s="21" t="n">
        <x:v>76130</x:v>
      </x:c>
      <x:c r="G464" s="7" t="str">
        <x:v>Utilities / lighting / drainage</x:v>
      </x:c>
      <x:c r="H464" s="7" t="str">
        <x:v>KGW November 2023 report; estimate dates not supplied</x:v>
      </x:c>
      <x:c r="I464" s="7" t="str">
        <x:v>https://flo.uri.sh/visualisation/15494950/embed</x:v>
      </x:c>
    </x:row>
    <x:row r="465" ht="46" customHeight="1">
      <x:c r="A465" s="8" t="n">
        <x:v>461</x:v>
      </x:c>
      <x:c r="B465" s="11" t="str">
        <x:v>Hoyt Arboretum</x:v>
      </x:c>
      <x:c r="C465" s="11" t="str">
        <x:v>Renovate shelter structure</x:v>
      </x:c>
      <x:c r="D465" s="11" t="str">
        <x:v>Hoyt Arboretum</x:v>
      </x:c>
      <x:c r="E465" s="11" t="str">
        <x:v>- The structure of shelter is in end of life cycle
- This project derived from Building assessment</x:v>
      </x:c>
      <x:c r="F465" s="20" t="n">
        <x:v>70563</x:v>
      </x:c>
      <x:c r="G465" s="8" t="str">
        <x:v>Buildings / building systems</x:v>
      </x:c>
      <x:c r="H465" s="8" t="str">
        <x:v>KGW November 2023 report; estimate dates not supplied</x:v>
      </x:c>
      <x:c r="I465" s="8" t="str">
        <x:v>https://flo.uri.sh/visualisation/15494950/embed</x:v>
      </x:c>
    </x:row>
    <x:row r="466" ht="46" customHeight="1">
      <x:c r="A466" s="7" t="n">
        <x:v>462</x:v>
      </x:c>
      <x:c r="B466" s="12" t="str">
        <x:v>Hoyt Arboretum</x:v>
      </x:c>
      <x:c r="C466" s="12" t="str">
        <x:v>Renovate electrical and mechanical equipment</x:v>
      </x:c>
      <x:c r="D466" s="12" t="str"/>
      <x:c r="E466" s="12" t="str">
        <x:v>Electrical and mechanical equipment’s passed 25 year of service and need to replace.</x:v>
      </x:c>
      <x:c r="F466" s="21" t="n">
        <x:v>50000</x:v>
      </x:c>
      <x:c r="G466" s="7" t="str">
        <x:v>Utilities / lighting / drainage</x:v>
      </x:c>
      <x:c r="H466" s="7" t="str">
        <x:v>KGW November 2023 report; estimate dates not supplied</x:v>
      </x:c>
      <x:c r="I466" s="7" t="str">
        <x:v>https://flo.uri.sh/visualisation/15494950/embed</x:v>
      </x:c>
    </x:row>
    <x:row r="467" ht="46" customHeight="1">
      <x:c r="A467" s="8" t="n">
        <x:v>463</x:v>
      </x:c>
      <x:c r="B467" s="11" t="str">
        <x:v>Hoyt Arboretum</x:v>
      </x:c>
      <x:c r="C467" s="11" t="str">
        <x:v>Pathway Renovation</x:v>
      </x:c>
      <x:c r="D467" s="11" t="str">
        <x:v>Hoyt Arboretum</x:v>
      </x:c>
      <x:c r="E467" s="11" t="str">
        <x:v>Replace the damaged pathway, trails and sidewalks that have been rated as 4 and 5 in Pathway assessment</x:v>
      </x:c>
      <x:c r="F467" s="20" t="n">
        <x:v>486279</x:v>
      </x:c>
      <x:c r="G467" s="8" t="str">
        <x:v>Paths / access / bridges</x:v>
      </x:c>
      <x:c r="H467" s="8" t="str">
        <x:v>KGW November 2023 report; estimate dates not supplied</x:v>
      </x:c>
      <x:c r="I467" s="8" t="str">
        <x:v>https://flo.uri.sh/visualisation/15494950/embed</x:v>
      </x:c>
    </x:row>
    <x:row r="468" ht="46" customHeight="1">
      <x:c r="A468" s="7" t="n">
        <x:v>464</x:v>
      </x:c>
      <x:c r="B468" s="12" t="str">
        <x:v>Hoyt Arboretum</x:v>
      </x:c>
      <x:c r="C468" s="12" t="str">
        <x:v>Renovate parking lot_Parking Area Q</x:v>
      </x:c>
      <x:c r="D468" s="12" t="str">
        <x:v>Parking Area Q</x:v>
      </x:c>
      <x:c r="E468" s="12" t="str">
        <x:v>Repair parking lot that was rated 4 in condition assessment. Repair include surface, drainage and curb. approx area= 1028 sq.ft</x:v>
      </x:c>
      <x:c r="F468" s="21" t="n">
        <x:v>34713</x:v>
      </x:c>
      <x:c r="G468" s="7" t="str">
        <x:v>Utilities / lighting / drainage</x:v>
      </x:c>
      <x:c r="H468" s="7" t="str">
        <x:v>KGW November 2023 report; estimate dates not supplied</x:v>
      </x:c>
      <x:c r="I468" s="7" t="str">
        <x:v>https://flo.uri.sh/visualisation/15494950/embed</x:v>
      </x:c>
    </x:row>
    <x:row r="469" ht="46" customHeight="1">
      <x:c r="A469" s="8" t="n">
        <x:v>465</x:v>
      </x:c>
      <x:c r="B469" s="11" t="str">
        <x:v>Hoyt Arboretum</x:v>
      </x:c>
      <x:c r="C469" s="11" t="str">
        <x:v>Renovate retaining wall</x:v>
      </x:c>
      <x:c r="D469" s="11" t="str">
        <x:v>Retaining wall</x:v>
      </x:c>
      <x:c r="E469" s="11" t="str">
        <x:v>investigate and repair or replace retaining walls</x:v>
      </x:c>
      <x:c r="F469" s="20" t="n">
        <x:v>30000</x:v>
      </x:c>
      <x:c r="G469" s="8" t="str">
        <x:v>Other site infrastructure</x:v>
      </x:c>
      <x:c r="H469" s="8" t="str">
        <x:v>KGW November 2023 report; estimate dates not supplied</x:v>
      </x:c>
      <x:c r="I469" s="8" t="str">
        <x:v>https://flo.uri.sh/visualisation/15494950/embed</x:v>
      </x:c>
    </x:row>
    <x:row r="470" ht="46" customHeight="1">
      <x:c r="A470" s="7" t="n">
        <x:v>466</x:v>
      </x:c>
      <x:c r="B470" s="12" t="str">
        <x:v>Hoyt Arboretum</x:v>
      </x:c>
      <x:c r="C470" s="12" t="str">
        <x:v>Repair pedestrian bridge</x:v>
      </x:c>
      <x:c r="D470" s="12" t="str">
        <x:v>Pedestrian bridge</x:v>
      </x:c>
      <x:c r="E470" s="12" t="str">
        <x:v>Renovate Complex and Major bridges that was rated as 4-5 in bridge condition assessment 2021</x:v>
      </x:c>
      <x:c r="F470" s="21" t="n">
        <x:v>27993</x:v>
      </x:c>
      <x:c r="G470" s="7" t="str">
        <x:v>Paths / access / bridges</x:v>
      </x:c>
      <x:c r="H470" s="7" t="str">
        <x:v>KGW November 2023 report; estimate dates not supplied</x:v>
      </x:c>
      <x:c r="I470" s="7" t="str">
        <x:v>https://flo.uri.sh/visualisation/15494950/embed</x:v>
      </x:c>
    </x:row>
    <x:row r="471" ht="46" customHeight="1">
      <x:c r="A471" s="8" t="n">
        <x:v>467</x:v>
      </x:c>
      <x:c r="B471" s="11" t="str">
        <x:v>Hoyt Arboretum</x:v>
      </x:c>
      <x:c r="C471" s="11" t="str">
        <x:v>Workspace- Reconfiguration and Furnishing</x:v>
      </x:c>
      <x:c r="D471" s="11" t="str">
        <x:v>Visitor Center, ID-151</x:v>
      </x:c>
      <x:c r="E471" s="11" t="str">
        <x:v>Project components:
Improvement Type: Building, Category: Interior, Subcategory: Furnishings, Description: FTE Workstations for every staff member, Invest#: 151.02
Improvement Type: Building, Category: Interior, Subcategory: Furnishings, Description: Lockers for Staff , Invest#: 151.07</x:v>
      </x:c>
      <x:c r="F471" s="20" t="n">
        <x:v>20000</x:v>
      </x:c>
      <x:c r="G471" s="8" t="str">
        <x:v>Buildings / building systems</x:v>
      </x:c>
      <x:c r="H471" s="8" t="str">
        <x:v>KGW November 2023 report; estimate dates not supplied</x:v>
      </x:c>
      <x:c r="I471" s="8" t="str">
        <x:v>https://flo.uri.sh/visualisation/15494950/embed</x:v>
      </x:c>
    </x:row>
    <x:row r="472" ht="46" customHeight="1">
      <x:c r="A472" s="7" t="n">
        <x:v>468</x:v>
      </x:c>
      <x:c r="B472" s="12" t="str">
        <x:v>Hoyt Arboretum</x:v>
      </x:c>
      <x:c r="C472" s="12" t="str">
        <x:v>Renovate parking lot_Parking Area AF</x:v>
      </x:c>
      <x:c r="D472" s="12" t="str">
        <x:v>Parking Area AF</x:v>
      </x:c>
      <x:c r="E472" s="12" t="str">
        <x:v>Repair parking lot that was rated 4 in condition assessment. Repair include surface, drainage and curb. approx area= 5186 sq.ft</x:v>
      </x:c>
      <x:c r="F472" s="21" t="n">
        <x:v>17641</x:v>
      </x:c>
      <x:c r="G472" s="7" t="str">
        <x:v>Utilities / lighting / drainage</x:v>
      </x:c>
      <x:c r="H472" s="7" t="str">
        <x:v>KGW November 2023 report; estimate dates not supplied</x:v>
      </x:c>
      <x:c r="I472" s="7" t="str">
        <x:v>https://flo.uri.sh/visualisation/15494950/embed</x:v>
      </x:c>
    </x:row>
    <x:row r="473" ht="46" customHeight="1">
      <x:c r="A473" s="8" t="n">
        <x:v>469</x:v>
      </x:c>
      <x:c r="B473" s="11" t="str">
        <x:v>Hoyt Arboretum</x:v>
      </x:c>
      <x:c r="C473" s="11" t="str">
        <x:v>Ecological Restoration_ Hoyt Arboretum</x:v>
      </x:c>
      <x:c r="D473" s="11" t="str"/>
      <x:c r="E473" s="11" t="str">
        <x:v>Placholder for Ecological health restoration</x:v>
      </x:c>
      <x:c r="F473" s="20" t="n">
        <x:v>147006</x:v>
      </x:c>
      <x:c r="G473" s="8" t="str">
        <x:v>Other site infrastructure</x:v>
      </x:c>
      <x:c r="H473" s="8" t="str">
        <x:v>KGW November 2023 report; estimate dates not supplied</x:v>
      </x:c>
      <x:c r="I473" s="8" t="str">
        <x:v>https://flo.uri.sh/visualisation/15494950/embed</x:v>
      </x:c>
    </x:row>
    <x:row r="474" ht="46" customHeight="1">
      <x:c r="A474" s="7" t="n">
        <x:v>470</x:v>
      </x:c>
      <x:c r="B474" s="12" t="str">
        <x:v>Ida B Wells-Barnett Outdoor Pool</x:v>
      </x:c>
      <x:c r="C474" s="12" t="str">
        <x:v>Renovate electrical and mechanical equipment</x:v>
      </x:c>
      <x:c r="D474" s="12" t="str"/>
      <x:c r="E474" s="12" t="str">
        <x:v>Electrical and mechanical equipment’s passed 25 year of service and need to replace.</x:v>
      </x:c>
      <x:c r="F474" s="21" t="n">
        <x:v>50000</x:v>
      </x:c>
      <x:c r="G474" s="7" t="str">
        <x:v>Utilities / lighting / drainage</x:v>
      </x:c>
      <x:c r="H474" s="7" t="str">
        <x:v>KGW November 2023 report; estimate dates not supplied</x:v>
      </x:c>
      <x:c r="I474" s="7" t="str">
        <x:v>https://flo.uri.sh/visualisation/15494950/embed</x:v>
      </x:c>
    </x:row>
    <x:row r="475" ht="46" customHeight="1">
      <x:c r="A475" s="8" t="n">
        <x:v>471</x:v>
      </x:c>
      <x:c r="B475" s="11" t="str">
        <x:v>Ida B Wells-Barnett Outdoor Pool</x:v>
      </x:c>
      <x:c r="C475" s="11" t="str">
        <x:v>Install Boiler</x:v>
      </x:c>
      <x:c r="D475" s="11" t="str">
        <x:v>Wilson Pool</x:v>
      </x:c>
      <x:c r="E475" s="11" t="str">
        <x:v>1- Project is reliant on pool filter installations.  Heated pool water is provided by PPS.  Their boilers are inefficient, causing disruptions to pool programming.
2- Steam from PPS during winters has caused a problem of steam entering a very cold climate causing any excess or exhaust of steam to immediately condense in the mechanical room making everything wet in the space.
3- Growing mold because of the steam from PPS, causes damage to equipment such as lifejackets, mats, etc
4- Damage risk of electrical equipment such as pumps and motor because of condensing of steam into moisture/water in the equipment.</x:v>
      </x:c>
      <x:c r="F475" s="20" t="n">
        <x:v>219854</x:v>
      </x:c>
      <x:c r="G475" s="8" t="str">
        <x:v>Pools / aquatics</x:v>
      </x:c>
      <x:c r="H475" s="8" t="str">
        <x:v>KGW November 2023 report; estimate dates not supplied</x:v>
      </x:c>
      <x:c r="I475" s="8" t="str">
        <x:v>https://flo.uri.sh/visualisation/15494950/embed</x:v>
      </x:c>
    </x:row>
    <x:row r="476" ht="46" customHeight="1">
      <x:c r="A476" s="7" t="n">
        <x:v>472</x:v>
      </x:c>
      <x:c r="B476" s="12" t="str">
        <x:v>Ida B Wells-Barnett Outdoor Pool</x:v>
      </x:c>
      <x:c r="C476" s="12" t="str">
        <x:v>ESPC-III_Buildings Lighting to LEDs</x:v>
      </x:c>
      <x:c r="D476" s="12" t="str">
        <x:v>Aquatics Facility</x:v>
      </x:c>
      <x:c r="E476" s="12" t="str">
        <x:v>LED conversion for Exterior and Interior Lights</x:v>
      </x:c>
      <x:c r="F476" s="21" t="n">
        <x:v>11760</x:v>
      </x:c>
      <x:c r="G476" s="7" t="str">
        <x:v>Pools / aquatics</x:v>
      </x:c>
      <x:c r="H476" s="7" t="str">
        <x:v>KGW November 2023 report; estimate dates not supplied</x:v>
      </x:c>
      <x:c r="I476" s="7" t="str">
        <x:v>https://flo.uri.sh/visualisation/15494950/embed</x:v>
      </x:c>
    </x:row>
    <x:row r="477" ht="46" customHeight="1">
      <x:c r="A477" s="8" t="n">
        <x:v>473</x:v>
      </x:c>
      <x:c r="B477" s="11" t="str">
        <x:v>Indian Creek Natural Area</x:v>
      </x:c>
      <x:c r="C477" s="11" t="str">
        <x:v>Ecological Restoration_ Indian Creek Natural Area</x:v>
      </x:c>
      <x:c r="D477" s="11" t="str"/>
      <x:c r="E477" s="11" t="str">
        <x:v>Placholder for Ecological health restoration</x:v>
      </x:c>
      <x:c r="F477" s="20" t="n">
        <x:v>147006</x:v>
      </x:c>
      <x:c r="G477" s="8" t="str">
        <x:v>Other site infrastructure</x:v>
      </x:c>
      <x:c r="H477" s="8" t="str">
        <x:v>KGW November 2023 report; estimate dates not supplied</x:v>
      </x:c>
      <x:c r="I477" s="8" t="str">
        <x:v>https://flo.uri.sh/visualisation/15494950/embed</x:v>
      </x:c>
    </x:row>
    <x:row r="478" ht="46" customHeight="1">
      <x:c r="A478" s="7" t="n">
        <x:v>474</x:v>
      </x:c>
      <x:c r="B478" s="12" t="str">
        <x:v>Indian Creek Natural Area</x:v>
      </x:c>
      <x:c r="C478" s="12" t="str">
        <x:v>Ecological Restoration_ Indian Creek Natural Area</x:v>
      </x:c>
      <x:c r="D478" s="12" t="str"/>
      <x:c r="E478" s="12" t="str">
        <x:v>Placholder for Ecological health restoration</x:v>
      </x:c>
      <x:c r="F478" s="21" t="n">
        <x:v>147006</x:v>
      </x:c>
      <x:c r="G478" s="7" t="str">
        <x:v>Other site infrastructure</x:v>
      </x:c>
      <x:c r="H478" s="7" t="str">
        <x:v>KGW November 2023 report; estimate dates not supplied</x:v>
      </x:c>
      <x:c r="I478" s="7" t="str">
        <x:v>https://flo.uri.sh/visualisation/15494950/embed</x:v>
      </x:c>
    </x:row>
    <x:row r="479" ht="46" customHeight="1">
      <x:c r="A479" s="8" t="n">
        <x:v>475</x:v>
      </x:c>
      <x:c r="B479" s="11" t="str">
        <x:v>Ira Keller Fountain Park</x:v>
      </x:c>
      <x:c r="C479" s="11" t="str">
        <x:v>ESPC-III_Buildings Lighting to LEDs</x:v>
      </x:c>
      <x:c r="D479" s="11" t="str">
        <x:v>Maintenance</x:v>
      </x:c>
      <x:c r="E479" s="11" t="str">
        <x:v>LED conversion for Exterior and Interior Lights</x:v>
      </x:c>
      <x:c r="F479" s="20" t="n">
        <x:v>11760</x:v>
      </x:c>
      <x:c r="G479" s="8" t="str">
        <x:v>Buildings / building systems</x:v>
      </x:c>
      <x:c r="H479" s="8" t="str">
        <x:v>KGW November 2023 report; estimate dates not supplied</x:v>
      </x:c>
      <x:c r="I479" s="8" t="str">
        <x:v>https://flo.uri.sh/visualisation/15494950/embed</x:v>
      </x:c>
    </x:row>
    <x:row r="480" ht="46" customHeight="1">
      <x:c r="A480" s="7" t="n">
        <x:v>476</x:v>
      </x:c>
      <x:c r="B480" s="12" t="str">
        <x:v>Ira Keller Fountain Park</x:v>
      </x:c>
      <x:c r="C480" s="12" t="str">
        <x:v>Pathway Renovation</x:v>
      </x:c>
      <x:c r="D480" s="12" t="str">
        <x:v>Internal Pathway/ Sidewalk</x:v>
      </x:c>
      <x:c r="E480" s="12" t="str">
        <x:v>Replace the damaged pathway, trails and sidewalks that have been rated as 4 and 5 in Pathway assessment</x:v>
      </x:c>
      <x:c r="F480" s="21" t="n">
        <x:v>106131</x:v>
      </x:c>
      <x:c r="G480" s="7" t="str">
        <x:v>Paths / access / bridges</x:v>
      </x:c>
      <x:c r="H480" s="7" t="str">
        <x:v>KGW November 2023 report; estimate dates not supplied</x:v>
      </x:c>
      <x:c r="I480" s="7" t="str">
        <x:v>https://flo.uri.sh/visualisation/15494950/embed</x:v>
      </x:c>
    </x:row>
    <x:row r="481" ht="46" customHeight="1">
      <x:c r="A481" s="8" t="n">
        <x:v>477</x:v>
      </x:c>
      <x:c r="B481" s="11" t="str">
        <x:v>Irving Park</x:v>
      </x:c>
      <x:c r="C481" s="11" t="str">
        <x:v>Renovate the Structure of Storage building</x:v>
      </x:c>
      <x:c r="D481" s="11" t="str">
        <x:v>Storage A</x:v>
      </x:c>
      <x:c r="E481" s="11" t="str">
        <x:v>Fix or replace the Structure that is rated 4 through buildings' assessment</x:v>
      </x:c>
      <x:c r="F481" s="20" t="n">
        <x:v>67834</x:v>
      </x:c>
      <x:c r="G481" s="8" t="str">
        <x:v>Buildings / building systems</x:v>
      </x:c>
      <x:c r="H481" s="8" t="str">
        <x:v>KGW November 2023 report; estimate dates not supplied</x:v>
      </x:c>
      <x:c r="I481" s="8" t="str">
        <x:v>https://flo.uri.sh/visualisation/15494950/embed</x:v>
      </x:c>
    </x:row>
    <x:row r="482" ht="46" customHeight="1">
      <x:c r="A482" s="7" t="n">
        <x:v>478</x:v>
      </x:c>
      <x:c r="B482" s="12" t="str">
        <x:v>Irving Park</x:v>
      </x:c>
      <x:c r="C482" s="12" t="str">
        <x:v>Replace Basketball Shelter</x:v>
      </x:c>
      <x:c r="D482" s="12" t="str">
        <x:v>Irving Park</x:v>
      </x:c>
      <x:c r="E482" s="12" t="str">
        <x:v>Replace failing siding, roofing, and water drainage system.  Modify structure to include seismic upgrades.</x:v>
      </x:c>
      <x:c r="F482" s="21" t="n">
        <x:v>504565</x:v>
      </x:c>
      <x:c r="G482" s="7" t="str">
        <x:v>Buildings / building systems</x:v>
      </x:c>
      <x:c r="H482" s="7" t="str">
        <x:v>KGW November 2023 report; estimate dates not supplied</x:v>
      </x:c>
      <x:c r="I482" s="7" t="str">
        <x:v>https://flo.uri.sh/visualisation/15494950/embed</x:v>
      </x:c>
    </x:row>
    <x:row r="483" ht="46" customHeight="1">
      <x:c r="A483" s="8" t="n">
        <x:v>479</x:v>
      </x:c>
      <x:c r="B483" s="11" t="str">
        <x:v>Irving Park</x:v>
      </x:c>
      <x:c r="C483" s="11" t="str">
        <x:v>Pathway Renovation</x:v>
      </x:c>
      <x:c r="D483" s="11" t="str">
        <x:v>Irving Park</x:v>
      </x:c>
      <x:c r="E483" s="11" t="str">
        <x:v>Replace the damaged pathway, trails and sidewalks that have been rated as 4 and 5 in Pathway assessment</x:v>
      </x:c>
      <x:c r="F483" s="20" t="n">
        <x:v>422529</x:v>
      </x:c>
      <x:c r="G483" s="8" t="str">
        <x:v>Paths / access / bridges</x:v>
      </x:c>
      <x:c r="H483" s="8" t="str">
        <x:v>KGW November 2023 report; estimate dates not supplied</x:v>
      </x:c>
      <x:c r="I483" s="8" t="str">
        <x:v>https://flo.uri.sh/visualisation/15494950/embed</x:v>
      </x:c>
    </x:row>
    <x:row r="484" ht="46" customHeight="1">
      <x:c r="A484" s="7" t="n">
        <x:v>480</x:v>
      </x:c>
      <x:c r="B484" s="12" t="str">
        <x:v>Irving Park</x:v>
      </x:c>
      <x:c r="C484" s="12" t="str">
        <x:v>Irving Pk Path Paving</x:v>
      </x:c>
      <x:c r="D484" s="12" t="str">
        <x:v>Irving Park</x:v>
      </x:c>
      <x:c r="E484" s="12" t="str">
        <x:v>Tripping hazards in pathways for joggers, walkers, bikers, etc. due to tree roots pushing through asphalt, sunken grades, pot holes, and includes broken and eroding surface on inclined pathway behind restroom building.  Add subsurface drain along inclined path for surface runoff.</x:v>
      </x:c>
      <x:c r="F484" s="21" t="n">
        <x:v>39536</x:v>
      </x:c>
      <x:c r="G484" s="7" t="str">
        <x:v>Buildings / building systems</x:v>
      </x:c>
      <x:c r="H484" s="7" t="str">
        <x:v>KGW November 2023 report; estimate dates not supplied</x:v>
      </x:c>
      <x:c r="I484" s="7" t="str">
        <x:v>https://flo.uri.sh/visualisation/15494950/embed</x:v>
      </x:c>
    </x:row>
    <x:row r="485" ht="46" customHeight="1">
      <x:c r="A485" s="8" t="n">
        <x:v>481</x:v>
      </x:c>
      <x:c r="B485" s="11" t="str">
        <x:v>Irving Park</x:v>
      </x:c>
      <x:c r="C485" s="11" t="str">
        <x:v>Playground renovation</x:v>
      </x:c>
      <x:c r="D485" s="11" t="str">
        <x:v>Play Area A</x:v>
      </x:c>
      <x:c r="E485" s="11" t="str">
        <x:v>Renovation or repair playground that was rated as 5 during playground assessment in 2020</x:v>
      </x:c>
      <x:c r="F485" s="20" t="n">
        <x:v>380992</x:v>
      </x:c>
      <x:c r="G485" s="8" t="str">
        <x:v>Fields / courts / play</x:v>
      </x:c>
      <x:c r="H485" s="8" t="str">
        <x:v>KGW November 2023 report; estimate dates not supplied</x:v>
      </x:c>
      <x:c r="I485" s="8" t="str">
        <x:v>https://flo.uri.sh/visualisation/15494950/embed</x:v>
      </x:c>
    </x:row>
    <x:row r="486" ht="46" customHeight="1">
      <x:c r="A486" s="7" t="n">
        <x:v>482</x:v>
      </x:c>
      <x:c r="B486" s="12" t="str">
        <x:v>Irving Park</x:v>
      </x:c>
      <x:c r="C486" s="12" t="str">
        <x:v>Bioswale</x:v>
      </x:c>
      <x:c r="D486" s="12" t="str">
        <x:v>Irving Park</x:v>
      </x:c>
      <x:c r="E486" s="12" t="str">
        <x:v>Update 1524C Solve drainage issues and rebuild retaining wall at Irving Park around covered basketball courts, install new drain system.  Divert water flowing overland from DOLA into drainage swale and capture run off before it runs over the side walk and into the street on Freemont.  Preserve Nike Basketball courts from water damage and reduce wet areas adjacent to courts impacting surfaces.  Needs additional assessment about potential connection to existing storm system.  Wall will need to be re-built with adequate drainage system behind wall OR drainage system can be installed at base of wall between wall and basketball court surface.</x:v>
      </x:c>
      <x:c r="F486" s="21" t="n">
        <x:v>357395</x:v>
      </x:c>
      <x:c r="G486" s="7" t="str">
        <x:v>Paths / access / bridges</x:v>
      </x:c>
      <x:c r="H486" s="7" t="str">
        <x:v>KGW November 2023 report; estimate dates not supplied</x:v>
      </x:c>
      <x:c r="I486" s="7" t="str">
        <x:v>https://flo.uri.sh/visualisation/15494950/embed</x:v>
      </x:c>
    </x:row>
    <x:row r="487" ht="46" customHeight="1">
      <x:c r="A487" s="8" t="n">
        <x:v>483</x:v>
      </x:c>
      <x:c r="B487" s="11" t="str">
        <x:v>Irving Park</x:v>
      </x:c>
      <x:c r="C487" s="11" t="str">
        <x:v>Change light poles base connection</x:v>
      </x:c>
      <x:c r="D487" s="11" t="str">
        <x:v>Light poles</x:v>
      </x:c>
      <x:c r="E487"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87 approximately with estimated cost $3000/ pole.</x:v>
      </x:c>
      <x:c r="F487" s="20" t="n">
        <x:v>266220</x:v>
      </x:c>
      <x:c r="G487" s="8" t="str">
        <x:v>Utilities / lighting / drainage</x:v>
      </x:c>
      <x:c r="H487" s="8" t="str">
        <x:v>KGW November 2023 report; estimate dates not supplied</x:v>
      </x:c>
      <x:c r="I487" s="8" t="str">
        <x:v>https://flo.uri.sh/visualisation/15494950/embed</x:v>
      </x:c>
    </x:row>
    <x:row r="488" ht="46" customHeight="1">
      <x:c r="A488" s="7" t="n">
        <x:v>484</x:v>
      </x:c>
      <x:c r="B488" s="12" t="str">
        <x:v>Irving Park</x:v>
      </x:c>
      <x:c r="C488" s="12" t="str">
        <x:v>Renovate sport field</x:v>
      </x:c>
      <x:c r="D488" s="12" t="str">
        <x:v>Ball Field 2</x:v>
      </x:c>
      <x:c r="E488" s="12" t="str">
        <x:v>Sport fields rated 4 or 5 in condition assessment</x:v>
      </x:c>
      <x:c r="F488" s="21" t="n">
        <x:v>253253</x:v>
      </x:c>
      <x:c r="G488" s="7" t="str">
        <x:v>Fields / courts / play</x:v>
      </x:c>
      <x:c r="H488" s="7" t="str">
        <x:v>KGW November 2023 report; estimate dates not supplied</x:v>
      </x:c>
      <x:c r="I488" s="7" t="str">
        <x:v>https://flo.uri.sh/visualisation/15494950/embed</x:v>
      </x:c>
    </x:row>
    <x:row r="489" ht="46" customHeight="1">
      <x:c r="A489" s="8" t="n">
        <x:v>485</x:v>
      </x:c>
      <x:c r="B489" s="11" t="str">
        <x:v>Irving Park</x:v>
      </x:c>
      <x:c r="C489" s="11" t="str">
        <x:v>Improve/ enhance tennis courts</x:v>
      </x:c>
      <x:c r="D489" s="11" t="str">
        <x:v>Irving Park</x:v>
      </x:c>
      <x:c r="E489" s="11" t="str">
        <x:v>Upgrade to community level facility:  resurface 4 courts and add fencing/gate.</x:v>
      </x:c>
      <x:c r="F489" s="20" t="n">
        <x:v>174932</x:v>
      </x:c>
      <x:c r="G489" s="8" t="str">
        <x:v>Fields / courts / play</x:v>
      </x:c>
      <x:c r="H489" s="8" t="str">
        <x:v>KGW November 2023 report; estimate dates not supplied</x:v>
      </x:c>
      <x:c r="I489" s="8" t="str">
        <x:v>https://flo.uri.sh/visualisation/15494950/embed</x:v>
      </x:c>
    </x:row>
    <x:row r="490" ht="46" customHeight="1">
      <x:c r="A490" s="7" t="n">
        <x:v>486</x:v>
      </x:c>
      <x:c r="B490" s="12" t="str">
        <x:v>Irving Park</x:v>
      </x:c>
      <x:c r="C490" s="12" t="str">
        <x:v>Wildwood Playground Equipment Replacement</x:v>
      </x:c>
      <x:c r="D490" s="12" t="str">
        <x:v>Irving Park</x:v>
      </x:c>
      <x:c r="E490" s="12" t="str">
        <x:v>Removal and replacement of existing Wildwood play structures.  Wildwood play equipment is no longer manufactured.  Structures have outlived their useful life.    Note that these improvements could trigger the requirement to bring other aspects of the park up to ADA.</x:v>
      </x:c>
      <x:c r="F490" s="21" t="n">
        <x:v>119232</x:v>
      </x:c>
      <x:c r="G490" s="7" t="str">
        <x:v>Paths / access / bridges</x:v>
      </x:c>
      <x:c r="H490" s="7" t="str">
        <x:v>KGW November 2023 report; estimate dates not supplied</x:v>
      </x:c>
      <x:c r="I490" s="7" t="str">
        <x:v>https://flo.uri.sh/visualisation/15494950/embed</x:v>
      </x:c>
    </x:row>
    <x:row r="491" ht="46" customHeight="1">
      <x:c r="A491" s="8" t="n">
        <x:v>487</x:v>
      </x:c>
      <x:c r="B491" s="11" t="str">
        <x:v>Irving Park</x:v>
      </x:c>
      <x:c r="C491" s="11" t="str">
        <x:v>Replace Restrom and Shelter roofs</x:v>
      </x:c>
      <x:c r="D491" s="11" t="str">
        <x:v>Irving Park</x:v>
      </x:c>
      <x:c r="E491" s="11" t="str">
        <x:v>- The roof of shelter and restroom is in the end of life cycle
- This project derived from Building assessment</x:v>
      </x:c>
      <x:c r="F491" s="20" t="n">
        <x:v>117605</x:v>
      </x:c>
      <x:c r="G491" s="8" t="str">
        <x:v>Buildings / building systems</x:v>
      </x:c>
      <x:c r="H491" s="8" t="str">
        <x:v>KGW November 2023 report; estimate dates not supplied</x:v>
      </x:c>
      <x:c r="I491" s="8" t="str">
        <x:v>https://flo.uri.sh/visualisation/15494950/embed</x:v>
      </x:c>
    </x:row>
    <x:row r="492" ht="46" customHeight="1">
      <x:c r="A492" s="7" t="n">
        <x:v>488</x:v>
      </x:c>
      <x:c r="B492" s="12" t="str">
        <x:v>Irving Park</x:v>
      </x:c>
      <x:c r="C492" s="12" t="str">
        <x:v>ESPC-III_Buildings Lighting to LEDs</x:v>
      </x:c>
      <x:c r="D492" s="12" t="str">
        <x:v>Storage</x:v>
      </x:c>
      <x:c r="E492" s="12" t="str">
        <x:v>LED conversion for Exterior and Interior Lights</x:v>
      </x:c>
      <x:c r="F492" s="21" t="n">
        <x:v>11760</x:v>
      </x:c>
      <x:c r="G492" s="7" t="str">
        <x:v>Buildings / building systems</x:v>
      </x:c>
      <x:c r="H492" s="7" t="str">
        <x:v>KGW November 2023 report; estimate dates not supplied</x:v>
      </x:c>
      <x:c r="I492" s="7" t="str">
        <x:v>https://flo.uri.sh/visualisation/15494950/embed</x:v>
      </x:c>
    </x:row>
    <x:row r="493" ht="46" customHeight="1">
      <x:c r="A493" s="8" t="n">
        <x:v>489</x:v>
      </x:c>
      <x:c r="B493" s="11" t="str">
        <x:v>Irving Park</x:v>
      </x:c>
      <x:c r="C493" s="11" t="str">
        <x:v>ESPC-III_Buildings Lighting to LEDs</x:v>
      </x:c>
      <x:c r="D493" s="11" t="str">
        <x:v>Restroom - Storage</x:v>
      </x:c>
      <x:c r="E493" s="11" t="str">
        <x:v>LED conversion for Exterior and Interior Lights</x:v>
      </x:c>
      <x:c r="F493" s="20" t="n">
        <x:v>11760</x:v>
      </x:c>
      <x:c r="G493" s="8" t="str">
        <x:v>Buildings / building systems</x:v>
      </x:c>
      <x:c r="H493" s="8" t="str">
        <x:v>KGW November 2023 report; estimate dates not supplied</x:v>
      </x:c>
      <x:c r="I493" s="8" t="str">
        <x:v>https://flo.uri.sh/visualisation/15494950/embed</x:v>
      </x:c>
    </x:row>
    <x:row r="494" ht="46" customHeight="1">
      <x:c r="A494" s="7" t="n">
        <x:v>490</x:v>
      </x:c>
      <x:c r="B494" s="12" t="str">
        <x:v>Jamison Square</x:v>
      </x:c>
      <x:c r="C494" s="12" t="str">
        <x:v>Replace Backflow preventer device</x:v>
      </x:c>
      <x:c r="D494" s="12" t="str">
        <x:v>Property</x:v>
      </x:c>
      <x:c r="E494" s="12" t="str">
        <x:v>- Replace two out of compliance backflow preventers
- Assembly: Double Check Valve Assembly (DCVA)
- Premises Isolation (PI): 2" Reduced Pressure (RP)+ Enclosure. Serial # KR557, IZ322
- Move to property line, if needed
- Hazard: Aquatics</x:v>
      </x:c>
      <x:c r="F494" s="21" t="n">
        <x:v>12000</x:v>
      </x:c>
      <x:c r="G494" s="7" t="str">
        <x:v>Pools / aquatics</x:v>
      </x:c>
      <x:c r="H494" s="7" t="str">
        <x:v>KGW November 2023 report; estimate dates not supplied</x:v>
      </x:c>
      <x:c r="I494" s="7" t="str">
        <x:v>https://flo.uri.sh/visualisation/15494950/embed</x:v>
      </x:c>
    </x:row>
    <x:row r="495" ht="46" customHeight="1">
      <x:c r="A495" s="8" t="n">
        <x:v>491</x:v>
      </x:c>
      <x:c r="B495" s="11" t="str">
        <x:v>Jamison Square</x:v>
      </x:c>
      <x:c r="C495" s="11" t="str">
        <x:v>ESPC-III_Buildings Lighting to LEDs</x:v>
      </x:c>
      <x:c r="D495" s="11" t="str">
        <x:v>Restroom - Loo</x:v>
      </x:c>
      <x:c r="E495" s="11" t="str">
        <x:v>LED conversion for Exterior and Interior Lights</x:v>
      </x:c>
      <x:c r="F495" s="20" t="n">
        <x:v>11760</x:v>
      </x:c>
      <x:c r="G495" s="8" t="str">
        <x:v>Buildings / building systems</x:v>
      </x:c>
      <x:c r="H495" s="8" t="str">
        <x:v>KGW November 2023 report; estimate dates not supplied</x:v>
      </x:c>
      <x:c r="I495" s="8" t="str">
        <x:v>https://flo.uri.sh/visualisation/15494950/embed</x:v>
      </x:c>
    </x:row>
    <x:row r="496" ht="46" customHeight="1">
      <x:c r="A496" s="7" t="n">
        <x:v>492</x:v>
      </x:c>
      <x:c r="B496" s="12" t="str">
        <x:v>Jensen Natural Area</x:v>
      </x:c>
      <x:c r="C496" s="12" t="str">
        <x:v>Ecological Restoration_ Jensen Natural Area</x:v>
      </x:c>
      <x:c r="D496" s="12" t="str"/>
      <x:c r="E496" s="12" t="str">
        <x:v>Placholder for Ecological health restoration</x:v>
      </x:c>
      <x:c r="F496" s="21" t="n">
        <x:v>49041</x:v>
      </x:c>
      <x:c r="G496" s="7" t="str">
        <x:v>Other site infrastructure</x:v>
      </x:c>
      <x:c r="H496" s="7" t="str">
        <x:v>KGW November 2023 report; estimate dates not supplied</x:v>
      </x:c>
      <x:c r="I496" s="7" t="str">
        <x:v>https://flo.uri.sh/visualisation/15494950/embed</x:v>
      </x:c>
    </x:row>
    <x:row r="497" ht="46" customHeight="1">
      <x:c r="A497" s="8" t="n">
        <x:v>493</x:v>
      </x:c>
      <x:c r="B497" s="11" t="str">
        <x:v>John Luby Park</x:v>
      </x:c>
      <x:c r="C497" s="11" t="str">
        <x:v>ESPC-III_Pathway Lighting to LEDs</x:v>
      </x:c>
      <x:c r="D497" s="11" t="str"/>
      <x:c r="E497" s="11" t="str">
        <x:v>Pathway Lighting Conversion to LEDs and Controls. Aprox: 21 Poles</x:v>
      </x:c>
      <x:c r="F497" s="20" t="n">
        <x:v>74091</x:v>
      </x:c>
      <x:c r="G497" s="8" t="str">
        <x:v>Paths / access / bridges</x:v>
      </x:c>
      <x:c r="H497" s="8" t="str">
        <x:v>KGW November 2023 report; estimate dates not supplied</x:v>
      </x:c>
      <x:c r="I497" s="8" t="str">
        <x:v>https://flo.uri.sh/visualisation/15494950/embed</x:v>
      </x:c>
    </x:row>
    <x:row r="498" ht="46" customHeight="1">
      <x:c r="A498" s="7" t="n">
        <x:v>494</x:v>
      </x:c>
      <x:c r="B498" s="12" t="str">
        <x:v>John Luby Park</x:v>
      </x:c>
      <x:c r="C498" s="12" t="str">
        <x:v>Playground renovation</x:v>
      </x:c>
      <x:c r="D498" s="12" t="str">
        <x:v>Play Area A</x:v>
      </x:c>
      <x:c r="E498" s="12" t="str">
        <x:v>Renovation or repair playground that was rated as 4
 during playground assessment in 2020</x:v>
      </x:c>
      <x:c r="F498" s="21" t="n">
        <x:v>417035</x:v>
      </x:c>
      <x:c r="G498" s="7" t="str">
        <x:v>Fields / courts / play</x:v>
      </x:c>
      <x:c r="H498" s="7" t="str">
        <x:v>KGW November 2023 report; estimate dates not supplied</x:v>
      </x:c>
      <x:c r="I498" s="7" t="str">
        <x:v>https://flo.uri.sh/visualisation/15494950/embed</x:v>
      </x:c>
    </x:row>
    <x:row r="499" ht="46" customHeight="1">
      <x:c r="A499" s="8" t="n">
        <x:v>495</x:v>
      </x:c>
      <x:c r="B499" s="11" t="str">
        <x:v>John Luby Park</x:v>
      </x:c>
      <x:c r="C499" s="11" t="str">
        <x:v>Pathway Renovation</x:v>
      </x:c>
      <x:c r="D499" s="11" t="str">
        <x:v>John Luby Park</x:v>
      </x:c>
      <x:c r="E499" s="11" t="str">
        <x:v>Replace the damaged pathway, trails and sidewalks that have been rated as 4 and 5 in Pathway assessment</x:v>
      </x:c>
      <x:c r="F499" s="20" t="n">
        <x:v>196560</x:v>
      </x:c>
      <x:c r="G499" s="8" t="str">
        <x:v>Paths / access / bridges</x:v>
      </x:c>
      <x:c r="H499" s="8" t="str">
        <x:v>KGW November 2023 report; estimate dates not supplied</x:v>
      </x:c>
      <x:c r="I499" s="8" t="str">
        <x:v>https://flo.uri.sh/visualisation/15494950/embed</x:v>
      </x:c>
    </x:row>
    <x:row r="500" ht="46" customHeight="1">
      <x:c r="A500" s="7" t="n">
        <x:v>496</x:v>
      </x:c>
      <x:c r="B500" s="12" t="str">
        <x:v>Johns Community Garden</x:v>
      </x:c>
      <x:c r="C500" s="12" t="str">
        <x:v>Pathway Renovation</x:v>
      </x:c>
      <x:c r="D500" s="12" t="str">
        <x:v>Johns Community Garden</x:v>
      </x:c>
      <x:c r="E500" s="12" t="str">
        <x:v>Replace the damaged pathway, trails and sidewalks that have been rated as 5 in Pathway assessment</x:v>
      </x:c>
      <x:c r="F500" s="21" t="n">
        <x:v>51708</x:v>
      </x:c>
      <x:c r="G500" s="7" t="str">
        <x:v>Paths / access / bridges</x:v>
      </x:c>
      <x:c r="H500" s="7" t="str">
        <x:v>KGW November 2023 report; estimate dates not supplied</x:v>
      </x:c>
      <x:c r="I500" s="7" t="str">
        <x:v>https://flo.uri.sh/visualisation/15494950/embed</x:v>
      </x:c>
    </x:row>
    <x:row r="501" ht="46" customHeight="1">
      <x:c r="A501" s="8" t="n">
        <x:v>497</x:v>
      </x:c>
      <x:c r="B501" s="11" t="str">
        <x:v>Johnson Creek Park</x:v>
      </x:c>
      <x:c r="C501" s="11" t="str">
        <x:v>Renovate the Roof of Restroom building</x:v>
      </x:c>
      <x:c r="D501" s="11" t="str">
        <x:v>Restroom A</x:v>
      </x:c>
      <x:c r="E501" s="11" t="str">
        <x:v>Fix or replace the Roof that is rated 4 through buildings' assessment</x:v>
      </x:c>
      <x:c r="F501" s="20" t="n">
        <x:v>27540</x:v>
      </x:c>
      <x:c r="G501" s="8" t="str">
        <x:v>Buildings / building systems</x:v>
      </x:c>
      <x:c r="H501" s="8" t="str">
        <x:v>KGW November 2023 report; estimate dates not supplied</x:v>
      </x:c>
      <x:c r="I501" s="8" t="str">
        <x:v>https://flo.uri.sh/visualisation/15494950/embed</x:v>
      </x:c>
    </x:row>
    <x:row r="502" ht="46" customHeight="1">
      <x:c r="A502" s="7" t="n">
        <x:v>498</x:v>
      </x:c>
      <x:c r="B502" s="12" t="str">
        <x:v>Johnson Creek Park</x:v>
      </x:c>
      <x:c r="C502" s="12" t="str">
        <x:v>Ecological Restoration_ Johnson Creek Park</x:v>
      </x:c>
      <x:c r="D502" s="12" t="str"/>
      <x:c r="E502" s="12" t="str">
        <x:v>Placholder for Ecological health restoration</x:v>
      </x:c>
      <x:c r="F502" s="21" t="n">
        <x:v>147006</x:v>
      </x:c>
      <x:c r="G502" s="7" t="str">
        <x:v>Other site infrastructure</x:v>
      </x:c>
      <x:c r="H502" s="7" t="str">
        <x:v>KGW November 2023 report; estimate dates not supplied</x:v>
      </x:c>
      <x:c r="I502" s="7" t="str">
        <x:v>https://flo.uri.sh/visualisation/15494950/embed</x:v>
      </x:c>
    </x:row>
    <x:row r="503" ht="46" customHeight="1">
      <x:c r="A503" s="8" t="n">
        <x:v>499</x:v>
      </x:c>
      <x:c r="B503" s="11" t="str">
        <x:v>Johnson Creek Park</x:v>
      </x:c>
      <x:c r="C503" s="11" t="str">
        <x:v>Replace Backflow preventer device</x:v>
      </x:c>
      <x:c r="D503" s="11" t="str">
        <x:v>Property</x:v>
      </x:c>
      <x:c r="E503" s="11" t="str">
        <x:v>- Replace out of compliance backflow preventers
- Assembly: Double Check Valve Assembly (DCVA)
- Move to property line, if needed
- Hazard: Flood plain
- See components for detail</x:v>
      </x:c>
      <x:c r="F503" s="20" t="n">
        <x:v>10000</x:v>
      </x:c>
      <x:c r="G503" s="8" t="str">
        <x:v>Utilities / lighting / drainage</x:v>
      </x:c>
      <x:c r="H503" s="8" t="str">
        <x:v>KGW November 2023 report; estimate dates not supplied</x:v>
      </x:c>
      <x:c r="I503" s="8" t="str">
        <x:v>https://flo.uri.sh/visualisation/15494950/embed</x:v>
      </x:c>
    </x:row>
    <x:row r="504" ht="46" customHeight="1">
      <x:c r="A504" s="7" t="n">
        <x:v>500</x:v>
      </x:c>
      <x:c r="B504" s="12" t="str">
        <x:v>Johnson Lake Property</x:v>
      </x:c>
      <x:c r="C504" s="12" t="str">
        <x:v>Ecological Restoration_ Johnson Lake Property</x:v>
      </x:c>
      <x:c r="D504" s="12" t="str"/>
      <x:c r="E504" s="12" t="str">
        <x:v>Placholder for Ecological health restoration</x:v>
      </x:c>
      <x:c r="F504" s="21" t="n">
        <x:v>147006</x:v>
      </x:c>
      <x:c r="G504" s="7" t="str">
        <x:v>Other site infrastructure</x:v>
      </x:c>
      <x:c r="H504" s="7" t="str">
        <x:v>KGW November 2023 report; estimate dates not supplied</x:v>
      </x:c>
      <x:c r="I504" s="7" t="str">
        <x:v>https://flo.uri.sh/visualisation/15494950/embed</x:v>
      </x:c>
    </x:row>
    <x:row r="505" ht="46" customHeight="1">
      <x:c r="A505" s="8" t="n">
        <x:v>501</x:v>
      </x:c>
      <x:c r="B505" s="11" t="str">
        <x:v>Joseph Wood Hill Park</x:v>
      </x:c>
      <x:c r="C505" s="11" t="str">
        <x:v>ESPC-III_Pathway Lighting to LEDs</x:v>
      </x:c>
      <x:c r="D505" s="11" t="str"/>
      <x:c r="E505" s="11" t="str">
        <x:v>Pathway Lighting Conversion to LEDs and Controls. Aprox: 18 Poles</x:v>
      </x:c>
      <x:c r="F505" s="20" t="n">
        <x:v>63507</x:v>
      </x:c>
      <x:c r="G505" s="8" t="str">
        <x:v>Paths / access / bridges</x:v>
      </x:c>
      <x:c r="H505" s="8" t="str">
        <x:v>KGW November 2023 report; estimate dates not supplied</x:v>
      </x:c>
      <x:c r="I505" s="8" t="str">
        <x:v>https://flo.uri.sh/visualisation/15494950/embed</x:v>
      </x:c>
    </x:row>
    <x:row r="506" ht="46" customHeight="1">
      <x:c r="A506" s="7" t="n">
        <x:v>502</x:v>
      </x:c>
      <x:c r="B506" s="12" t="str">
        <x:v>Kelley Point Park</x:v>
      </x:c>
      <x:c r="C506" s="12" t="str">
        <x:v>Renovate parking lot_Parking Area B</x:v>
      </x:c>
      <x:c r="D506" s="12" t="str">
        <x:v>Parking Area B</x:v>
      </x:c>
      <x:c r="E506" s="12" t="str">
        <x:v>Repair parking lot that was rated 4 in condition assessment. Repair include surface, drainage and curb. approx area= 27000 sq.ft</x:v>
      </x:c>
      <x:c r="F506" s="21" t="n">
        <x:v>93726</x:v>
      </x:c>
      <x:c r="G506" s="7" t="str">
        <x:v>Utilities / lighting / drainage</x:v>
      </x:c>
      <x:c r="H506" s="7" t="str">
        <x:v>KGW November 2023 report; estimate dates not supplied</x:v>
      </x:c>
      <x:c r="I506" s="7" t="str">
        <x:v>https://flo.uri.sh/visualisation/15494950/embed</x:v>
      </x:c>
    </x:row>
    <x:row r="507" ht="46" customHeight="1">
      <x:c r="A507" s="8" t="n">
        <x:v>503</x:v>
      </x:c>
      <x:c r="B507" s="11" t="str">
        <x:v>Kelley Point Park</x:v>
      </x:c>
      <x:c r="C507" s="11" t="str">
        <x:v>Replace the backflow preventer with Reduced Pressu</x:v>
      </x:c>
      <x:c r="D507" s="11" t="str">
        <x:v>Kelley Point Park</x:v>
      </x:c>
      <x:c r="E507" s="11" t="str">
        <x:v>The backflow preventer is failing in test and need to be replaced</x:v>
      </x:c>
      <x:c r="F507" s="20" t="n">
        <x:v>89950</x:v>
      </x:c>
      <x:c r="G507" s="8" t="str">
        <x:v>Utilities / lighting / drainage</x:v>
      </x:c>
      <x:c r="H507" s="8" t="str">
        <x:v>KGW November 2023 report; estimate dates not supplied</x:v>
      </x:c>
      <x:c r="I507" s="8" t="str">
        <x:v>https://flo.uri.sh/visualisation/15494950/embed</x:v>
      </x:c>
    </x:row>
    <x:row r="508" ht="46" customHeight="1">
      <x:c r="A508" s="7" t="n">
        <x:v>504</x:v>
      </x:c>
      <x:c r="B508" s="12" t="str">
        <x:v>Kelley Point Park</x:v>
      </x:c>
      <x:c r="C508" s="12" t="str">
        <x:v>Pathway Renovation</x:v>
      </x:c>
      <x:c r="D508" s="12" t="str">
        <x:v>Kelley Point Park</x:v>
      </x:c>
      <x:c r="E508" s="12" t="str">
        <x:v>Replace the damaged pathway, trails and sidewalks that have been rated as 4 and 5 in Pathway assessment</x:v>
      </x:c>
      <x:c r="F508" s="21" t="n">
        <x:v>645291</x:v>
      </x:c>
      <x:c r="G508" s="7" t="str">
        <x:v>Paths / access / bridges</x:v>
      </x:c>
      <x:c r="H508" s="7" t="str">
        <x:v>KGW November 2023 report; estimate dates not supplied</x:v>
      </x:c>
      <x:c r="I508" s="7" t="str">
        <x:v>https://flo.uri.sh/visualisation/15494950/embed</x:v>
      </x:c>
    </x:row>
    <x:row r="509" ht="46" customHeight="1">
      <x:c r="A509" s="8" t="n">
        <x:v>505</x:v>
      </x:c>
      <x:c r="B509" s="11" t="str">
        <x:v>Kelley Point Park</x:v>
      </x:c>
      <x:c r="C509" s="11" t="str">
        <x:v>Renovate retaining wall</x:v>
      </x:c>
      <x:c r="D509" s="11" t="str">
        <x:v>Retaining wall</x:v>
      </x:c>
      <x:c r="E509" s="11" t="str">
        <x:v>investigate and repair or replace retaining walls</x:v>
      </x:c>
      <x:c r="F509" s="20" t="n">
        <x:v>30000</x:v>
      </x:c>
      <x:c r="G509" s="8" t="str">
        <x:v>Other site infrastructure</x:v>
      </x:c>
      <x:c r="H509" s="8" t="str">
        <x:v>KGW November 2023 report; estimate dates not supplied</x:v>
      </x:c>
      <x:c r="I509" s="8" t="str">
        <x:v>https://flo.uri.sh/visualisation/15494950/embed</x:v>
      </x:c>
    </x:row>
    <x:row r="510" ht="46" customHeight="1">
      <x:c r="A510" s="7" t="n">
        <x:v>506</x:v>
      </x:c>
      <x:c r="B510" s="12" t="str">
        <x:v>Kelley Point Park</x:v>
      </x:c>
      <x:c r="C510" s="12" t="str">
        <x:v>Renovate parking lot_Parking Area C</x:v>
      </x:c>
      <x:c r="D510" s="12" t="str">
        <x:v>Parking Area C</x:v>
      </x:c>
      <x:c r="E510" s="12" t="str">
        <x:v>Repair parking lot that was rated 4 in condition assessment. Repair include surface, drainage and curb. approx area= 6142 sq.ft</x:v>
      </x:c>
      <x:c r="F510" s="21" t="n">
        <x:v>20893</x:v>
      </x:c>
      <x:c r="G510" s="7" t="str">
        <x:v>Utilities / lighting / drainage</x:v>
      </x:c>
      <x:c r="H510" s="7" t="str">
        <x:v>KGW November 2023 report; estimate dates not supplied</x:v>
      </x:c>
      <x:c r="I510" s="7" t="str">
        <x:v>https://flo.uri.sh/visualisation/15494950/embed</x:v>
      </x:c>
    </x:row>
    <x:row r="511" ht="46" customHeight="1">
      <x:c r="A511" s="8" t="n">
        <x:v>507</x:v>
      </x:c>
      <x:c r="B511" s="11" t="str">
        <x:v>Kelley Point Park</x:v>
      </x:c>
      <x:c r="C511" s="11" t="str">
        <x:v>Ecological Restoration_ Kelley Point Park</x:v>
      </x:c>
      <x:c r="D511" s="11" t="str"/>
      <x:c r="E511" s="11" t="str">
        <x:v>Placholder for Ecological health restoration</x:v>
      </x:c>
      <x:c r="F511" s="20" t="n">
        <x:v>147006</x:v>
      </x:c>
      <x:c r="G511" s="8" t="str">
        <x:v>Other site infrastructure</x:v>
      </x:c>
      <x:c r="H511" s="8" t="str">
        <x:v>KGW November 2023 report; estimate dates not supplied</x:v>
      </x:c>
      <x:c r="I511" s="8" t="str">
        <x:v>https://flo.uri.sh/visualisation/15494950/embed</x:v>
      </x:c>
    </x:row>
    <x:row r="512" ht="46" customHeight="1">
      <x:c r="A512" s="7" t="n">
        <x:v>508</x:v>
      </x:c>
      <x:c r="B512" s="12" t="str">
        <x:v>Kelley Point Park</x:v>
      </x:c>
      <x:c r="C512" s="12" t="str">
        <x:v>Renovate the Roof of Restroom building</x:v>
      </x:c>
      <x:c r="D512" s="12" t="str">
        <x:v>Restroom A</x:v>
      </x:c>
      <x:c r="E512" s="12" t="str">
        <x:v>Fix or replace the Roof that is rated 4 through buildings' assessment</x:v>
      </x:c>
      <x:c r="F512" s="21" t="n">
        <x:v>142720</x:v>
      </x:c>
      <x:c r="G512" s="7" t="str">
        <x:v>Buildings / building systems</x:v>
      </x:c>
      <x:c r="H512" s="7" t="str">
        <x:v>KGW November 2023 report; estimate dates not supplied</x:v>
      </x:c>
      <x:c r="I512" s="7" t="str">
        <x:v>https://flo.uri.sh/visualisation/15494950/embed</x:v>
      </x:c>
    </x:row>
    <x:row r="513" ht="46" customHeight="1">
      <x:c r="A513" s="8" t="n">
        <x:v>509</x:v>
      </x:c>
      <x:c r="B513" s="11" t="str">
        <x:v>Kelley Point Park</x:v>
      </x:c>
      <x:c r="C513" s="11" t="str">
        <x:v>ESPC-III_Buildings Lighting to LEDs</x:v>
      </x:c>
      <x:c r="D513" s="11" t="str">
        <x:v>Shelter - Restroom</x:v>
      </x:c>
      <x:c r="E513" s="11" t="str">
        <x:v>LED conversion for Exterior and Interior Lights</x:v>
      </x:c>
      <x:c r="F513" s="20" t="n">
        <x:v>11760</x:v>
      </x:c>
      <x:c r="G513" s="8" t="str">
        <x:v>Buildings / building systems</x:v>
      </x:c>
      <x:c r="H513" s="8" t="str">
        <x:v>KGW November 2023 report; estimate dates not supplied</x:v>
      </x:c>
      <x:c r="I513" s="8" t="str">
        <x:v>https://flo.uri.sh/visualisation/15494950/embed</x:v>
      </x:c>
    </x:row>
    <x:row r="514" ht="46" customHeight="1">
      <x:c r="A514" s="7" t="n">
        <x:v>510</x:v>
      </x:c>
      <x:c r="B514" s="12" t="str">
        <x:v>Kelley Point Park</x:v>
      </x:c>
      <x:c r="C514" s="12" t="str">
        <x:v>Renovate the Roof of Shelter - Restroom building</x:v>
      </x:c>
      <x:c r="D514" s="12" t="str">
        <x:v>Restroom B</x:v>
      </x:c>
      <x:c r="E514" s="12" t="str">
        <x:v>Fix or replace the Roof that is rated 4 through buildings' assessment</x:v>
      </x:c>
      <x:c r="F514" s="21" t="n">
        <x:v>103142</x:v>
      </x:c>
      <x:c r="G514" s="7" t="str">
        <x:v>Buildings / building systems</x:v>
      </x:c>
      <x:c r="H514" s="7" t="str">
        <x:v>KGW November 2023 report; estimate dates not supplied</x:v>
      </x:c>
      <x:c r="I514" s="7" t="str">
        <x:v>https://flo.uri.sh/visualisation/15494950/embed</x:v>
      </x:c>
    </x:row>
    <x:row r="515" ht="46" customHeight="1">
      <x:c r="A515" s="8" t="n">
        <x:v>511</x:v>
      </x:c>
      <x:c r="B515" s="11" t="str">
        <x:v>Kelley Point Park</x:v>
      </x:c>
      <x:c r="C515" s="11" t="str">
        <x:v>Renovate parking lot_Parking Area A</x:v>
      </x:c>
      <x:c r="D515" s="11" t="str">
        <x:v>Parking Area A</x:v>
      </x:c>
      <x:c r="E515" s="11" t="str">
        <x:v>Repair parking lot that was rated 5 in condition assessment. Repair include surface, drainage and curb. approx area= 70821 sq.ft</x:v>
      </x:c>
      <x:c r="F515" s="20" t="n">
        <x:v>1930677</x:v>
      </x:c>
      <x:c r="G515" s="8" t="str">
        <x:v>Utilities / lighting / drainage</x:v>
      </x:c>
      <x:c r="H515" s="8" t="str">
        <x:v>KGW November 2023 report; estimate dates not supplied</x:v>
      </x:c>
      <x:c r="I515" s="8" t="str">
        <x:v>https://flo.uri.sh/visualisation/15494950/embed</x:v>
      </x:c>
    </x:row>
    <x:row r="516" ht="46" customHeight="1">
      <x:c r="A516" s="7" t="n">
        <x:v>512</x:v>
      </x:c>
      <x:c r="B516" s="12" t="str">
        <x:v>Kelly Butte Natural Area</x:v>
      </x:c>
      <x:c r="C516" s="12" t="str">
        <x:v>Renovate retaining wall</x:v>
      </x:c>
      <x:c r="D516" s="12" t="str">
        <x:v>Retaining wall</x:v>
      </x:c>
      <x:c r="E516" s="12" t="str">
        <x:v>investigate and repair or replace retaining walls</x:v>
      </x:c>
      <x:c r="F516" s="21" t="n">
        <x:v>30000</x:v>
      </x:c>
      <x:c r="G516" s="7" t="str">
        <x:v>Other site infrastructure</x:v>
      </x:c>
      <x:c r="H516" s="7" t="str">
        <x:v>KGW November 2023 report; estimate dates not supplied</x:v>
      </x:c>
      <x:c r="I516" s="7" t="str">
        <x:v>https://flo.uri.sh/visualisation/15494950/embed</x:v>
      </x:c>
    </x:row>
    <x:row r="517" ht="46" customHeight="1">
      <x:c r="A517" s="8" t="n">
        <x:v>513</x:v>
      </x:c>
      <x:c r="B517" s="11" t="str">
        <x:v>Kelly Elementary School</x:v>
      </x:c>
      <x:c r="C517" s="11" t="str">
        <x:v>Renovate irrigation at PPS Sports field</x:v>
      </x:c>
      <x:c r="D517" s="11" t="str"/>
      <x:c r="E517" s="11" t="str">
        <x:v>Renovate irrigation system at Kelly ES school field to provide more field capacity. Replaces CIP 2291, projects were split out by site.</x:v>
      </x:c>
      <x:c r="F517" s="20" t="n">
        <x:v>33824</x:v>
      </x:c>
      <x:c r="G517" s="8" t="str">
        <x:v>Fields / courts / play</x:v>
      </x:c>
      <x:c r="H517" s="8" t="str">
        <x:v>KGW November 2023 report; estimate dates not supplied</x:v>
      </x:c>
      <x:c r="I517" s="8" t="str">
        <x:v>https://flo.uri.sh/visualisation/15494950/embed</x:v>
      </x:c>
    </x:row>
    <x:row r="518" ht="46" customHeight="1">
      <x:c r="A518" s="7" t="n">
        <x:v>514</x:v>
      </x:c>
      <x:c r="B518" s="12" t="str">
        <x:v>Kenilworth Park</x:v>
      </x:c>
      <x:c r="C518" s="12" t="str">
        <x:v>Tennis Courts Resurface</x:v>
      </x:c>
      <x:c r="D518" s="12" t="str">
        <x:v>Kenilworth Park</x:v>
      </x:c>
      <x:c r="E518" s="12" t="str">
        <x:v>Resurface tennis courts.</x:v>
      </x:c>
      <x:c r="F518" s="21" t="n">
        <x:v>22929</x:v>
      </x:c>
      <x:c r="G518" s="7" t="str">
        <x:v>Fields / courts / play</x:v>
      </x:c>
      <x:c r="H518" s="7" t="str">
        <x:v>KGW November 2023 report; estimate dates not supplied</x:v>
      </x:c>
      <x:c r="I518" s="7" t="str">
        <x:v>https://flo.uri.sh/visualisation/15494950/embed</x:v>
      </x:c>
    </x:row>
    <x:row r="519" ht="46" customHeight="1">
      <x:c r="A519" s="8" t="n">
        <x:v>515</x:v>
      </x:c>
      <x:c r="B519" s="11" t="str">
        <x:v>Kenilworth Park</x:v>
      </x:c>
      <x:c r="C519" s="11" t="str">
        <x:v>Playground renovation</x:v>
      </x:c>
      <x:c r="D519" s="11" t="str">
        <x:v>Play Area A</x:v>
      </x:c>
      <x:c r="E519" s="11" t="str">
        <x:v>Renovation or repair playground that was rated as 5 during playground assessment in 2020</x:v>
      </x:c>
      <x:c r="F519" s="20" t="n">
        <x:v>202600</x:v>
      </x:c>
      <x:c r="G519" s="8" t="str">
        <x:v>Fields / courts / play</x:v>
      </x:c>
      <x:c r="H519" s="8" t="str">
        <x:v>KGW November 2023 report; estimate dates not supplied</x:v>
      </x:c>
      <x:c r="I519" s="8" t="str">
        <x:v>https://flo.uri.sh/visualisation/15494950/embed</x:v>
      </x:c>
    </x:row>
    <x:row r="520" ht="46" customHeight="1">
      <x:c r="A520" s="7" t="n">
        <x:v>516</x:v>
      </x:c>
      <x:c r="B520" s="12" t="str">
        <x:v>Kenilworth Park</x:v>
      </x:c>
      <x:c r="C520" s="12" t="str">
        <x:v>Repair and Upgrade Access path_</x:v>
      </x:c>
      <x:c r="D520" s="12" t="str">
        <x:v>Kenilworth Park</x:v>
      </x:c>
      <x:c r="E520" s="12" t="str">
        <x:v>Problem: Eedge is breaking down of access path in the upper north of the park. 
Solution: Build up, strengthen and widen the path to accommodate larger vehicles
Contacts: Tara L 503 729-6669   Alex S 503 823-3650</x:v>
      </x:c>
      <x:c r="F520" s="21" t="n">
        <x:v>17641</x:v>
      </x:c>
      <x:c r="G520" s="7" t="str">
        <x:v>Paths / access / bridges</x:v>
      </x:c>
      <x:c r="H520" s="7" t="str">
        <x:v>KGW November 2023 report; estimate dates not supplied</x:v>
      </x:c>
      <x:c r="I520" s="7" t="str">
        <x:v>https://flo.uri.sh/visualisation/15494950/embed</x:v>
      </x:c>
    </x:row>
    <x:row r="521" ht="46" customHeight="1">
      <x:c r="A521" s="8" t="n">
        <x:v>517</x:v>
      </x:c>
      <x:c r="B521" s="11" t="str">
        <x:v>Kenilworth Park</x:v>
      </x:c>
      <x:c r="C521" s="11" t="str">
        <x:v>Pathway Renovation</x:v>
      </x:c>
      <x:c r="D521" s="11" t="str">
        <x:v>Kenilworth Park</x:v>
      </x:c>
      <x:c r="E521" s="11" t="str">
        <x:v>Replace the damaged pathway, trails and sidewalks that have been rated as 4 and 5 in Pathway assessment</x:v>
      </x:c>
      <x:c r="F521" s="20" t="n">
        <x:v>153760</x:v>
      </x:c>
      <x:c r="G521" s="8" t="str">
        <x:v>Paths / access / bridges</x:v>
      </x:c>
      <x:c r="H521" s="8" t="str">
        <x:v>KGW November 2023 report; estimate dates not supplied</x:v>
      </x:c>
      <x:c r="I521" s="8" t="str">
        <x:v>https://flo.uri.sh/visualisation/15494950/embed</x:v>
      </x:c>
    </x:row>
    <x:row r="522" ht="46" customHeight="1">
      <x:c r="A522" s="7" t="n">
        <x:v>518</x:v>
      </x:c>
      <x:c r="B522" s="12" t="str">
        <x:v>Kenilworth Park</x:v>
      </x:c>
      <x:c r="C522" s="12" t="str">
        <x:v>ESPC-III_Buildings Lighting to LEDs</x:v>
      </x:c>
      <x:c r="D522" s="12" t="str">
        <x:v>Restroom - Storage - Maintenance</x:v>
      </x:c>
      <x:c r="E522" s="12" t="str">
        <x:v>LED conversion for Exterior and Interior Lights</x:v>
      </x:c>
      <x:c r="F522" s="21" t="n">
        <x:v>11760</x:v>
      </x:c>
      <x:c r="G522" s="7" t="str">
        <x:v>Buildings / building systems</x:v>
      </x:c>
      <x:c r="H522" s="7" t="str">
        <x:v>KGW November 2023 report; estimate dates not supplied</x:v>
      </x:c>
      <x:c r="I522" s="7" t="str">
        <x:v>https://flo.uri.sh/visualisation/15494950/embed</x:v>
      </x:c>
    </x:row>
    <x:row r="523" ht="46" customHeight="1">
      <x:c r="A523" s="8" t="n">
        <x:v>519</x:v>
      </x:c>
      <x:c r="B523" s="11" t="str">
        <x:v>Kenton Park</x:v>
      </x:c>
      <x:c r="C523" s="11" t="str">
        <x:v>ESPC-II_ Kenton Park</x:v>
      </x:c>
      <x:c r="D523" s="11" t="str"/>
      <x:c r="E523" s="11" t="str">
        <x:v>Install a GE control node on each pathway light fixture.  Node for parks with &lt;50 fixtures will be model #ELWM18BXXXXAD.  Node for parks with &gt;50 fixtures will be model #ELWN08BXXXXAD.. FIM Name: 09.17-0215 Building Exterior Lighting Controls</x:v>
      </x:c>
      <x:c r="F523" s="20" t="n">
        <x:v>733</x:v>
      </x:c>
      <x:c r="G523" s="8" t="str">
        <x:v>Buildings / building systems</x:v>
      </x:c>
      <x:c r="H523" s="8" t="str">
        <x:v>KGW November 2023 report; estimate dates not supplied</x:v>
      </x:c>
      <x:c r="I523" s="8" t="str">
        <x:v>https://flo.uri.sh/visualisation/15494950/embed</x:v>
      </x:c>
    </x:row>
    <x:row r="524" ht="46" customHeight="1">
      <x:c r="A524" s="7" t="n">
        <x:v>520</x:v>
      </x:c>
      <x:c r="B524" s="12" t="str">
        <x:v>Kenton Park</x:v>
      </x:c>
      <x:c r="C524" s="12" t="str">
        <x:v>Pathway Renovation</x:v>
      </x:c>
      <x:c r="D524" s="12" t="str">
        <x:v>Kenton Park</x:v>
      </x:c>
      <x:c r="E524" s="12" t="str">
        <x:v>Replace the damaged pathway, trails and sidewalks that have been rated as 4 and 5 in Pathway assessment</x:v>
      </x:c>
      <x:c r="F524" s="21" t="n">
        <x:v>106132</x:v>
      </x:c>
      <x:c r="G524" s="7" t="str">
        <x:v>Paths / access / bridges</x:v>
      </x:c>
      <x:c r="H524" s="7" t="str">
        <x:v>KGW November 2023 report; estimate dates not supplied</x:v>
      </x:c>
      <x:c r="I524" s="7" t="str">
        <x:v>https://flo.uri.sh/visualisation/15494950/embed</x:v>
      </x:c>
    </x:row>
    <x:row r="525" ht="46" customHeight="1">
      <x:c r="A525" s="8" t="n">
        <x:v>521</x:v>
      </x:c>
      <x:c r="B525" s="11" t="str">
        <x:v>Kern Park</x:v>
      </x:c>
      <x:c r="C525" s="11" t="str">
        <x:v>Pathway Renovation</x:v>
      </x:c>
      <x:c r="D525" s="11" t="str">
        <x:v>Internal Pathway/ Sidewalk</x:v>
      </x:c>
      <x:c r="E525" s="11" t="str">
        <x:v>Replace the damaged pathway, trails and sidewalks that have been rated as 4 and 5 in Pathway assessment</x:v>
      </x:c>
      <x:c r="F525" s="20" t="n">
        <x:v>34851</x:v>
      </x:c>
      <x:c r="G525" s="8" t="str">
        <x:v>Paths / access / bridges</x:v>
      </x:c>
      <x:c r="H525" s="8" t="str">
        <x:v>KGW November 2023 report; estimate dates not supplied</x:v>
      </x:c>
      <x:c r="I525" s="8" t="str">
        <x:v>https://flo.uri.sh/visualisation/15494950/embed</x:v>
      </x:c>
    </x:row>
    <x:row r="526" ht="46" customHeight="1">
      <x:c r="A526" s="7" t="n">
        <x:v>522</x:v>
      </x:c>
      <x:c r="B526" s="12" t="str">
        <x:v>Kern Park</x:v>
      </x:c>
      <x:c r="C526" s="12" t="str">
        <x:v>Renovate Baskeball court</x:v>
      </x:c>
      <x:c r="D526" s="12" t="str">
        <x:v>Court</x:v>
      </x:c>
      <x:c r="E526" s="12" t="str">
        <x:v>The court surface is in bad condition. It is rated as 5 in court assessment</x:v>
      </x:c>
      <x:c r="F526" s="21" t="n">
        <x:v>166277</x:v>
      </x:c>
      <x:c r="G526" s="7" t="str">
        <x:v>Fields / courts / play</x:v>
      </x:c>
      <x:c r="H526" s="7" t="str">
        <x:v>KGW November 2023 report; estimate dates not supplied</x:v>
      </x:c>
      <x:c r="I526" s="7" t="str">
        <x:v>https://flo.uri.sh/visualisation/15494950/embed</x:v>
      </x:c>
    </x:row>
    <x:row r="527" ht="46" customHeight="1">
      <x:c r="A527" s="8" t="n">
        <x:v>523</x:v>
      </x:c>
      <x:c r="B527" s="11" t="str">
        <x:v>Kern Park</x:v>
      </x:c>
      <x:c r="C527" s="11" t="str">
        <x:v>Playground renovation</x:v>
      </x:c>
      <x:c r="D527" s="11" t="str">
        <x:v>Play Area A</x:v>
      </x:c>
      <x:c r="E527" s="11" t="str">
        <x:v>Renovation or repair playground that was rated as 4
 during playground assessment in 2020</x:v>
      </x:c>
      <x:c r="F527" s="20" t="n">
        <x:v>140358</x:v>
      </x:c>
      <x:c r="G527" s="8" t="str">
        <x:v>Fields / courts / play</x:v>
      </x:c>
      <x:c r="H527" s="8" t="str">
        <x:v>KGW November 2023 report; estimate dates not supplied</x:v>
      </x:c>
      <x:c r="I527" s="8" t="str">
        <x:v>https://flo.uri.sh/visualisation/15494950/embed</x:v>
      </x:c>
    </x:row>
    <x:row r="528" ht="46" customHeight="1">
      <x:c r="A528" s="7" t="n">
        <x:v>524</x:v>
      </x:c>
      <x:c r="B528" s="12" t="str">
        <x:v>Kerr Site</x:v>
      </x:c>
      <x:c r="C528" s="12" t="str">
        <x:v>Ecological Restoration_ Kerr Site</x:v>
      </x:c>
      <x:c r="D528" s="12" t="str"/>
      <x:c r="E528" s="12" t="str">
        <x:v>Placholder for Ecological health restoration</x:v>
      </x:c>
      <x:c r="F528" s="21" t="n">
        <x:v>147006</x:v>
      </x:c>
      <x:c r="G528" s="7" t="str">
        <x:v>Other site infrastructure</x:v>
      </x:c>
      <x:c r="H528" s="7" t="str">
        <x:v>KGW November 2023 report; estimate dates not supplied</x:v>
      </x:c>
      <x:c r="I528" s="7" t="str">
        <x:v>https://flo.uri.sh/visualisation/15494950/embed</x:v>
      </x:c>
    </x:row>
    <x:row r="529" ht="46" customHeight="1">
      <x:c r="A529" s="8" t="n">
        <x:v>525</x:v>
      </x:c>
      <x:c r="B529" s="11" t="str">
        <x:v>Khunamokwst Park</x:v>
      </x:c>
      <x:c r="C529" s="11" t="str">
        <x:v>ESPC-III_Buildings Lighting to LEDs</x:v>
      </x:c>
      <x:c r="D529" s="11" t="str">
        <x:v>Restroom - Loo</x:v>
      </x:c>
      <x:c r="E529" s="11" t="str">
        <x:v>LED conversion for Exterior and Interior Lights</x:v>
      </x:c>
      <x:c r="F529" s="20" t="n">
        <x:v>11760</x:v>
      </x:c>
      <x:c r="G529" s="8" t="str">
        <x:v>Buildings / building systems</x:v>
      </x:c>
      <x:c r="H529" s="8" t="str">
        <x:v>KGW November 2023 report; estimate dates not supplied</x:v>
      </x:c>
      <x:c r="I529" s="8" t="str">
        <x:v>https://flo.uri.sh/visualisation/15494950/embed</x:v>
      </x:c>
    </x:row>
    <x:row r="530" ht="46" customHeight="1">
      <x:c r="A530" s="7" t="n">
        <x:v>526</x:v>
      </x:c>
      <x:c r="B530" s="12" t="str">
        <x:v>Kingsley Park</x:v>
      </x:c>
      <x:c r="C530" s="12" t="str">
        <x:v>Renovate Kingsley Community Garden</x:v>
      </x:c>
      <x:c r="D530" s="12" t="str">
        <x:v>Community Garden</x:v>
      </x:c>
      <x:c r="E530" s="12" t="str">
        <x:v>Construct a 10,000 SF community garden at Kingsley Park. The garden will include a fence, irrigation system, tool shed, sign, ADA raised beds, an in-ground beds. Preliminary site analysis for a garden is complete. A public involvement process is still needed prior to development.</x:v>
      </x:c>
      <x:c r="F530" s="21" t="n">
        <x:v>83714</x:v>
      </x:c>
      <x:c r="G530" s="7" t="str">
        <x:v>Paths / access / bridges</x:v>
      </x:c>
      <x:c r="H530" s="7" t="str">
        <x:v>KGW November 2023 report; estimate dates not supplied</x:v>
      </x:c>
      <x:c r="I530" s="7" t="str">
        <x:v>https://flo.uri.sh/visualisation/15494950/embed</x:v>
      </x:c>
    </x:row>
    <x:row r="531" ht="46" customHeight="1">
      <x:c r="A531" s="8" t="n">
        <x:v>527</x:v>
      </x:c>
      <x:c r="B531" s="11" t="str">
        <x:v>Kingsley Park</x:v>
      </x:c>
      <x:c r="C531" s="11" t="str">
        <x:v>Pathway Renovation</x:v>
      </x:c>
      <x:c r="D531" s="11" t="str">
        <x:v>Kingsley Park</x:v>
      </x:c>
      <x:c r="E531" s="11" t="str">
        <x:v>Replace the damaged pathway, trails and sidewalks that have been rated as 4 and 5 in Pathway assessment</x:v>
      </x:c>
      <x:c r="F531" s="20" t="n">
        <x:v>43043</x:v>
      </x:c>
      <x:c r="G531" s="8" t="str">
        <x:v>Paths / access / bridges</x:v>
      </x:c>
      <x:c r="H531" s="8" t="str">
        <x:v>KGW November 2023 report; estimate dates not supplied</x:v>
      </x:c>
      <x:c r="I531" s="8" t="str">
        <x:v>https://flo.uri.sh/visualisation/15494950/embed</x:v>
      </x:c>
    </x:row>
    <x:row r="532" ht="46" customHeight="1">
      <x:c r="A532" s="7" t="n">
        <x:v>528</x:v>
      </x:c>
      <x:c r="B532" s="12" t="str">
        <x:v>Knott Park</x:v>
      </x:c>
      <x:c r="C532" s="12" t="str">
        <x:v>Renovate parking lot_Parking Area B</x:v>
      </x:c>
      <x:c r="D532" s="12" t="str">
        <x:v>Parking Area B</x:v>
      </x:c>
      <x:c r="E532" s="12" t="str">
        <x:v>Repair parking lot that was rated 4 in condition assessment. Repair include surface, drainage and curb. approx area= 4996 sq.ft</x:v>
      </x:c>
      <x:c r="F532" s="21" t="n">
        <x:v>81681</x:v>
      </x:c>
      <x:c r="G532" s="7" t="str">
        <x:v>Utilities / lighting / drainage</x:v>
      </x:c>
      <x:c r="H532" s="7" t="str">
        <x:v>KGW November 2023 report; estimate dates not supplied</x:v>
      </x:c>
      <x:c r="I532" s="7" t="str">
        <x:v>https://flo.uri.sh/visualisation/15494950/embed</x:v>
      </x:c>
    </x:row>
    <x:row r="533" ht="46" customHeight="1">
      <x:c r="A533" s="8" t="n">
        <x:v>529</x:v>
      </x:c>
      <x:c r="B533" s="11" t="str">
        <x:v>Knott Park</x:v>
      </x:c>
      <x:c r="C533" s="11" t="str">
        <x:v>ESPC-II_ Knott Park</x:v>
      </x:c>
      <x:c r="D533" s="11" t="str"/>
      <x:c r="E533" s="11" t="str">
        <x:v>Install a GE control node on each pathway light fixture.  Node for parks with &lt;50 fixtures will be model #ELWM18BXXXXAD.  Node for parks with &gt;50 fixtures will be model #ELWN08BXXXXAD.. FIM Name: 09.17-0220 Building Exterior Lighting Controls</x:v>
      </x:c>
      <x:c r="F533" s="20" t="n">
        <x:v>366</x:v>
      </x:c>
      <x:c r="G533" s="8" t="str">
        <x:v>Buildings / building systems</x:v>
      </x:c>
      <x:c r="H533" s="8" t="str">
        <x:v>KGW November 2023 report; estimate dates not supplied</x:v>
      </x:c>
      <x:c r="I533" s="8" t="str">
        <x:v>https://flo.uri.sh/visualisation/15494950/embed</x:v>
      </x:c>
    </x:row>
    <x:row r="534" ht="46" customHeight="1">
      <x:c r="A534" s="7" t="n">
        <x:v>530</x:v>
      </x:c>
      <x:c r="B534" s="12" t="str">
        <x:v>Knott Park</x:v>
      </x:c>
      <x:c r="C534" s="12" t="str">
        <x:v>Playground renovation</x:v>
      </x:c>
      <x:c r="D534" s="12" t="str">
        <x:v>Play Area A</x:v>
      </x:c>
      <x:c r="E534" s="12" t="str">
        <x:v>Renovation or repair playground that was rated as 4
 during playground assessment in 2020</x:v>
      </x:c>
      <x:c r="F534" s="21" t="n">
        <x:v>329277</x:v>
      </x:c>
      <x:c r="G534" s="7" t="str">
        <x:v>Fields / courts / play</x:v>
      </x:c>
      <x:c r="H534" s="7" t="str">
        <x:v>KGW November 2023 report; estimate dates not supplied</x:v>
      </x:c>
      <x:c r="I534" s="7" t="str">
        <x:v>https://flo.uri.sh/visualisation/15494950/embed</x:v>
      </x:c>
    </x:row>
    <x:row r="535" ht="46" customHeight="1">
      <x:c r="A535" s="8" t="n">
        <x:v>531</x:v>
      </x:c>
      <x:c r="B535" s="11" t="str">
        <x:v>Knott Park</x:v>
      </x:c>
      <x:c r="C535" s="11" t="str">
        <x:v>Ballfield Improvements</x:v>
      </x:c>
      <x:c r="D535" s="11" t="str">
        <x:v>Knott Park</x:v>
      </x:c>
      <x:c r="E535" s="11" t="str">
        <x:v>Replace fencing, backstop, level field (add dirt).  See also CIP 2546.</x:v>
      </x:c>
      <x:c r="F535" s="20" t="n">
        <x:v>29667</x:v>
      </x:c>
      <x:c r="G535" s="8" t="str">
        <x:v>Fields / courts / play</x:v>
      </x:c>
      <x:c r="H535" s="8" t="str">
        <x:v>KGW November 2023 report; estimate dates not supplied</x:v>
      </x:c>
      <x:c r="I535" s="8" t="str">
        <x:v>https://flo.uri.sh/visualisation/15494950/embed</x:v>
      </x:c>
    </x:row>
    <x:row r="536" ht="46" customHeight="1">
      <x:c r="A536" s="7" t="n">
        <x:v>532</x:v>
      </x:c>
      <x:c r="B536" s="12" t="str">
        <x:v>Knott Park</x:v>
      </x:c>
      <x:c r="C536" s="12" t="str">
        <x:v>ESPC-II_ Knott Park</x:v>
      </x:c>
      <x:c r="D536" s="12" t="str"/>
      <x:c r="E536" s="12" t="str">
        <x:v>Replace Knott Park's old irrigation booster pump/pump motor with a new and more efficient pump/pump motor.. FIM Name: 18.11-0220 Replace Irrigation Pump(s)</x:v>
      </x:c>
      <x:c r="F536" s="21" t="n">
        <x:v>27361</x:v>
      </x:c>
      <x:c r="G536" s="7" t="str">
        <x:v>Utilities / lighting / drainage</x:v>
      </x:c>
      <x:c r="H536" s="7" t="str">
        <x:v>KGW November 2023 report; estimate dates not supplied</x:v>
      </x:c>
      <x:c r="I536" s="7" t="str">
        <x:v>https://flo.uri.sh/visualisation/15494950/embed</x:v>
      </x:c>
    </x:row>
    <x:row r="537" ht="46" customHeight="1">
      <x:c r="A537" s="8" t="n">
        <x:v>533</x:v>
      </x:c>
      <x:c r="B537" s="11" t="str">
        <x:v>Knott Park</x:v>
      </x:c>
      <x:c r="C537" s="11" t="str">
        <x:v>Pathway Renovation</x:v>
      </x:c>
      <x:c r="D537" s="11" t="str">
        <x:v>Knott Park</x:v>
      </x:c>
      <x:c r="E537" s="11" t="str">
        <x:v>Replace the damaged pathway, trails and sidewalks that have been rated as 4 and 5 in Pathway assessment</x:v>
      </x:c>
      <x:c r="F537" s="20" t="n">
        <x:v>194557</x:v>
      </x:c>
      <x:c r="G537" s="8" t="str">
        <x:v>Paths / access / bridges</x:v>
      </x:c>
      <x:c r="H537" s="8" t="str">
        <x:v>KGW November 2023 report; estimate dates not supplied</x:v>
      </x:c>
      <x:c r="I537" s="8" t="str">
        <x:v>https://flo.uri.sh/visualisation/15494950/embed</x:v>
      </x:c>
    </x:row>
    <x:row r="538" ht="46" customHeight="1">
      <x:c r="A538" s="7" t="n">
        <x:v>534</x:v>
      </x:c>
      <x:c r="B538" s="12" t="str">
        <x:v>Knott Park</x:v>
      </x:c>
      <x:c r="C538" s="12" t="str">
        <x:v>Roof repair or replacment</x:v>
      </x:c>
      <x:c r="D538" s="12" t="str">
        <x:v>Knott Park</x:v>
      </x:c>
      <x:c r="E538" s="12" t="str">
        <x:v>Replace roof on restroom at Knott Park.  Replaces previous CIP 2287, projects were split out by site.</x:v>
      </x:c>
      <x:c r="F538" s="21" t="n">
        <x:v>15481</x:v>
      </x:c>
      <x:c r="G538" s="7" t="str">
        <x:v>Buildings / building systems</x:v>
      </x:c>
      <x:c r="H538" s="7" t="str">
        <x:v>KGW November 2023 report; estimate dates not supplied</x:v>
      </x:c>
      <x:c r="I538" s="7" t="str">
        <x:v>https://flo.uri.sh/visualisation/15494950/embed</x:v>
      </x:c>
    </x:row>
    <x:row r="539" ht="46" customHeight="1">
      <x:c r="A539" s="8" t="n">
        <x:v>535</x:v>
      </x:c>
      <x:c r="B539" s="11" t="str">
        <x:v>Ladds Circle and Squares</x:v>
      </x:c>
      <x:c r="C539" s="11" t="str">
        <x:v>Change light poles base connection</x:v>
      </x:c>
      <x:c r="D539" s="11" t="str">
        <x:v>Light poles</x:v>
      </x:c>
      <x:c r="E539"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4 approximately with estimated cost $3000/ pole.</x:v>
      </x:c>
      <x:c r="F539" s="20" t="n">
        <x:v>12240</x:v>
      </x:c>
      <x:c r="G539" s="8" t="str">
        <x:v>Utilities / lighting / drainage</x:v>
      </x:c>
      <x:c r="H539" s="8" t="str">
        <x:v>KGW November 2023 report; estimate dates not supplied</x:v>
      </x:c>
      <x:c r="I539" s="8" t="str">
        <x:v>https://flo.uri.sh/visualisation/15494950/embed</x:v>
      </x:c>
    </x:row>
    <x:row r="540" ht="46" customHeight="1">
      <x:c r="A540" s="7" t="n">
        <x:v>536</x:v>
      </x:c>
      <x:c r="B540" s="12" t="str">
        <x:v>Lair Hill Park</x:v>
      </x:c>
      <x:c r="C540" s="12" t="str">
        <x:v>Renovate the Roof of Administration building</x:v>
      </x:c>
      <x:c r="D540" s="12" t="str">
        <x:v>Carnegie Annex</x:v>
      </x:c>
      <x:c r="E540" s="12" t="str">
        <x:v>Fix or replace the Roof that is rated 4 through buildings' assessment</x:v>
      </x:c>
      <x:c r="F540" s="21" t="n">
        <x:v>876447</x:v>
      </x:c>
      <x:c r="G540" s="7" t="str">
        <x:v>Buildings / building systems</x:v>
      </x:c>
      <x:c r="H540" s="7" t="str">
        <x:v>KGW November 2023 report; estimate dates not supplied</x:v>
      </x:c>
      <x:c r="I540" s="7" t="str">
        <x:v>https://flo.uri.sh/visualisation/15494950/embed</x:v>
      </x:c>
    </x:row>
    <x:row r="541" ht="46" customHeight="1">
      <x:c r="A541" s="8" t="n">
        <x:v>537</x:v>
      </x:c>
      <x:c r="B541" s="11" t="str">
        <x:v>Lair Hill Park</x:v>
      </x:c>
      <x:c r="C541" s="11" t="str">
        <x:v>Renovate electrical and mechanical equipment</x:v>
      </x:c>
      <x:c r="D541" s="11" t="str">
        <x:v>Liar Hill Building and Carnegie annex</x:v>
      </x:c>
      <x:c r="E541" s="11" t="str">
        <x:v>Electrical and mechanical equipment’s passed 25 year of service and need to replace.</x:v>
      </x:c>
      <x:c r="F541" s="20" t="n">
        <x:v>50000</x:v>
      </x:c>
      <x:c r="G541" s="8" t="str">
        <x:v>Buildings / building systems</x:v>
      </x:c>
      <x:c r="H541" s="8" t="str">
        <x:v>KGW November 2023 report; estimate dates not supplied</x:v>
      </x:c>
      <x:c r="I541" s="8" t="str">
        <x:v>https://flo.uri.sh/visualisation/15494950/embed</x:v>
      </x:c>
    </x:row>
    <x:row r="542" ht="46" customHeight="1">
      <x:c r="A542" s="7" t="n">
        <x:v>538</x:v>
      </x:c>
      <x:c r="B542" s="12" t="str">
        <x:v>Lair Hill Park</x:v>
      </x:c>
      <x:c r="C542" s="12" t="str">
        <x:v>Workspace- MEP and interior development</x:v>
      </x:c>
      <x:c r="D542" s="12" t="str">
        <x:v>Carnegie Annex, ID-183</x:v>
      </x:c>
      <x:c r="E542" s="12" t="str">
        <x:v>Project components:
Improvement Type: Building, Category: MEP, Subcategory: Plumbing - Laundry, Description: Add Laundry (Need W/D), Invest#: 183.03
Improvement Type: Building, Category: Interior, Subcategory: Mudroom Functions, Description: Add mudroom function (Environmental Education), Invest#: 183.02
Improvement Type: Building, Category: Storage, Subcategory: NA, Description: Additional Storage (Environmental Education), Invest#: 183.05
Improvement Type: Building, Category: Interior, Subcategory: Meeting Room, Description: Meeting Space, Invest#: 183.04
Improvement Type: Building, Category: MEP, Subcategory: Plumbing - shower, Description: Shower on Site, Invest#: 183.06</x:v>
      </x:c>
      <x:c r="F542" s="21" t="n">
        <x:v>50000</x:v>
      </x:c>
      <x:c r="G542" s="7" t="str">
        <x:v>Buildings / building systems</x:v>
      </x:c>
      <x:c r="H542" s="7" t="str">
        <x:v>KGW November 2023 report; estimate dates not supplied</x:v>
      </x:c>
      <x:c r="I542" s="7" t="str">
        <x:v>https://flo.uri.sh/visualisation/15494950/embed</x:v>
      </x:c>
    </x:row>
    <x:row r="543" ht="46" customHeight="1">
      <x:c r="A543" s="8" t="n">
        <x:v>539</x:v>
      </x:c>
      <x:c r="B543" s="11" t="str">
        <x:v>Lair Hill Park</x:v>
      </x:c>
      <x:c r="C543" s="11" t="str">
        <x:v>Workspace- ADA assessment for building and restrooms</x:v>
      </x:c>
      <x:c r="D543" s="11" t="str">
        <x:v>Carnegie Annex, ID-183</x:v>
      </x:c>
      <x:c r="E543" s="11" t="str">
        <x:v>Improvement Type: Building, Category: Accessibility, Subcategory: ADA, Description: Perform ADA assessment for building and restrooms, Invest#: 183.07</x:v>
      </x:c>
      <x:c r="F543" s="20" t="n">
        <x:v>50000</x:v>
      </x:c>
      <x:c r="G543" s="8" t="str">
        <x:v>Buildings / building systems</x:v>
      </x:c>
      <x:c r="H543" s="8" t="str">
        <x:v>KGW November 2023 report; estimate dates not supplied</x:v>
      </x:c>
      <x:c r="I543" s="8" t="str">
        <x:v>https://flo.uri.sh/visualisation/15494950/embed</x:v>
      </x:c>
    </x:row>
    <x:row r="544" ht="46" customHeight="1">
      <x:c r="A544" s="7" t="n">
        <x:v>540</x:v>
      </x:c>
      <x:c r="B544" s="12" t="str">
        <x:v>Lair Hill Park</x:v>
      </x:c>
      <x:c r="C544" s="12" t="str">
        <x:v>Workspace- Site Configuration including parking areas</x:v>
      </x:c>
      <x:c r="D544" s="12" t="str">
        <x:v>Property site</x:v>
      </x:c>
      <x:c r="E544" s="12" t="str">
        <x:v>Project components:
Improvement Type: Site, Category: , Subcategory: NA, Description: , Invest#: 
Improvement Type: Parking, Category: Site Configuration, Subcategory: Parking - Bike, Description: Enclosed Bike Parking, Invest#: 222.03
Improvement Type: Parking, Category: Site Configuration, Subcategory: Parking, Description: Fleet Parking, Invest#: 222.01
Improvement Type: Parking, Category: Site Configuration, Subcategory: Parking, Description: FTE Parking, Invest#: 222.02</x:v>
      </x:c>
      <x:c r="F544" s="21" t="n">
        <x:v>40000</x:v>
      </x:c>
      <x:c r="G544" s="7" t="str">
        <x:v>Buildings / building systems</x:v>
      </x:c>
      <x:c r="H544" s="7" t="str">
        <x:v>KGW November 2023 report; estimate dates not supplied</x:v>
      </x:c>
      <x:c r="I544" s="7" t="str">
        <x:v>https://flo.uri.sh/visualisation/15494950/embed</x:v>
      </x:c>
    </x:row>
    <x:row r="545" ht="46" customHeight="1">
      <x:c r="A545" s="8" t="n">
        <x:v>541</x:v>
      </x:c>
      <x:c r="B545" s="11" t="str">
        <x:v>Lair Hill Park</x:v>
      </x:c>
      <x:c r="C545" s="11" t="str">
        <x:v>Seismic/ Structural</x:v>
      </x:c>
      <x:c r="D545" s="11" t="str">
        <x:v>Lair Hill Building</x:v>
      </x:c>
      <x:c r="E545" s="11" t="str">
        <x:v>Either renovate the building for new program, or remove from portfolio. Needs seismic upgrade if planned for reuse.</x:v>
      </x:c>
      <x:c r="F545" s="20" t="n">
        <x:v>4644224</x:v>
      </x:c>
      <x:c r="G545" s="8" t="str">
        <x:v>Buildings / building systems</x:v>
      </x:c>
      <x:c r="H545" s="8" t="str">
        <x:v>KGW November 2023 report; estimate dates not supplied</x:v>
      </x:c>
      <x:c r="I545" s="8" t="str">
        <x:v>https://flo.uri.sh/visualisation/15494950/embed</x:v>
      </x:c>
    </x:row>
    <x:row r="546" ht="46" customHeight="1">
      <x:c r="A546" s="7" t="n">
        <x:v>542</x:v>
      </x:c>
      <x:c r="B546" s="12" t="str">
        <x:v>Lair Hill Park</x:v>
      </x:c>
      <x:c r="C546" s="12" t="str">
        <x:v>Renovate the Roof of Special Facility building</x:v>
      </x:c>
      <x:c r="D546" s="12" t="str">
        <x:v>Lair Hill Building</x:v>
      </x:c>
      <x:c r="E546" s="12" t="str">
        <x:v>Fix or replace the Roof that is rated 4 through buildings' assessment</x:v>
      </x:c>
      <x:c r="F546" s="21" t="n">
        <x:v>4341043</x:v>
      </x:c>
      <x:c r="G546" s="7" t="str">
        <x:v>Buildings / building systems</x:v>
      </x:c>
      <x:c r="H546" s="7" t="str">
        <x:v>KGW November 2023 report; estimate dates not supplied</x:v>
      </x:c>
      <x:c r="I546" s="7" t="str">
        <x:v>https://flo.uri.sh/visualisation/15494950/embed</x:v>
      </x:c>
    </x:row>
    <x:row r="547" ht="46" customHeight="1">
      <x:c r="A547" s="8" t="n">
        <x:v>543</x:v>
      </x:c>
      <x:c r="B547" s="11" t="str">
        <x:v>Lair Hill Park</x:v>
      </x:c>
      <x:c r="C547" s="11" t="str">
        <x:v>Change light poles base connection</x:v>
      </x:c>
      <x:c r="D547" s="11" t="str">
        <x:v>Light poles</x:v>
      </x:c>
      <x:c r="E547"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9 approximately with estimated cost $3000/ pole.</x:v>
      </x:c>
      <x:c r="F547" s="20" t="n">
        <x:v>27540</x:v>
      </x:c>
      <x:c r="G547" s="8" t="str">
        <x:v>Utilities / lighting / drainage</x:v>
      </x:c>
      <x:c r="H547" s="8" t="str">
        <x:v>KGW November 2023 report; estimate dates not supplied</x:v>
      </x:c>
      <x:c r="I547" s="8" t="str">
        <x:v>https://flo.uri.sh/visualisation/15494950/embed</x:v>
      </x:c>
    </x:row>
    <x:row r="548" ht="46" customHeight="1">
      <x:c r="A548" s="7" t="n">
        <x:v>544</x:v>
      </x:c>
      <x:c r="B548" s="12" t="str">
        <x:v>Lair Hill Park</x:v>
      </x:c>
      <x:c r="C548" s="12" t="str">
        <x:v>Renovate Tennis sport court at Lair Hill Park</x:v>
      </x:c>
      <x:c r="D548" s="12" t="str">
        <x:v>Tennis Court</x:v>
      </x:c>
      <x:c r="E548" s="12" t="str">
        <x:v>Fix or replace the Asphalt surface of the court that is rated 4 through courts' assessment</x:v>
      </x:c>
      <x:c r="F548" s="21" t="n">
        <x:v>253583</x:v>
      </x:c>
      <x:c r="G548" s="7" t="str">
        <x:v>Fields / courts / play</x:v>
      </x:c>
      <x:c r="H548" s="7" t="str">
        <x:v>KGW November 2023 report; estimate dates not supplied</x:v>
      </x:c>
      <x:c r="I548" s="7" t="str">
        <x:v>https://flo.uri.sh/visualisation/15494950/embed</x:v>
      </x:c>
    </x:row>
    <x:row r="549" ht="46" customHeight="1">
      <x:c r="A549" s="8" t="n">
        <x:v>545</x:v>
      </x:c>
      <x:c r="B549" s="11" t="str">
        <x:v>Lair Hill Park</x:v>
      </x:c>
      <x:c r="C549" s="11" t="str">
        <x:v>Pathway Renovation</x:v>
      </x:c>
      <x:c r="D549" s="11" t="str">
        <x:v>Lair Hill Park</x:v>
      </x:c>
      <x:c r="E549" s="11" t="str">
        <x:v>Replace the damaged pathway, trails and sidewalks that have been rated as 4 and 5 in Pathway assessment</x:v>
      </x:c>
      <x:c r="F549" s="20" t="n">
        <x:v>141126</x:v>
      </x:c>
      <x:c r="G549" s="8" t="str">
        <x:v>Paths / access / bridges</x:v>
      </x:c>
      <x:c r="H549" s="8" t="str">
        <x:v>KGW November 2023 report; estimate dates not supplied</x:v>
      </x:c>
      <x:c r="I549" s="8" t="str">
        <x:v>https://flo.uri.sh/visualisation/15494950/embed</x:v>
      </x:c>
    </x:row>
    <x:row r="550" ht="46" customHeight="1">
      <x:c r="A550" s="7" t="n">
        <x:v>546</x:v>
      </x:c>
      <x:c r="B550" s="12" t="str">
        <x:v>Lair Hill Park</x:v>
      </x:c>
      <x:c r="C550" s="12" t="str">
        <x:v>ESPC-III_Buildings Lighting to LEDs</x:v>
      </x:c>
      <x:c r="D550" s="12" t="str">
        <x:v>Special Facility</x:v>
      </x:c>
      <x:c r="E550" s="12" t="str">
        <x:v>LED conversion for Exterior and Interior Lights</x:v>
      </x:c>
      <x:c r="F550" s="21" t="n">
        <x:v>11760</x:v>
      </x:c>
      <x:c r="G550" s="7" t="str">
        <x:v>Buildings / building systems</x:v>
      </x:c>
      <x:c r="H550" s="7" t="str">
        <x:v>KGW November 2023 report; estimate dates not supplied</x:v>
      </x:c>
      <x:c r="I550" s="7" t="str">
        <x:v>https://flo.uri.sh/visualisation/15494950/embed</x:v>
      </x:c>
    </x:row>
    <x:row r="551" ht="46" customHeight="1">
      <x:c r="A551" s="8" t="n">
        <x:v>547</x:v>
      </x:c>
      <x:c r="B551" s="11" t="str">
        <x:v>Lair Hill Park</x:v>
      </x:c>
      <x:c r="C551" s="11" t="str">
        <x:v>Replace Backflow preventer device</x:v>
      </x:c>
      <x:c r="D551" s="11" t="str">
        <x:v>Property</x:v>
      </x:c>
      <x:c r="E551" s="11" t="str">
        <x:v>- Replace out of compliance backflow preventers
- Assembly: Double Check Valve Assembly (DCVA)
- Move to property line, if needed
- Hazard: Right of Way (ROW)
- See components for detail</x:v>
      </x:c>
      <x:c r="F551" s="20" t="n">
        <x:v>10000</x:v>
      </x:c>
      <x:c r="G551" s="8" t="str">
        <x:v>Utilities / lighting / drainage</x:v>
      </x:c>
      <x:c r="H551" s="8" t="str">
        <x:v>KGW November 2023 report; estimate dates not supplied</x:v>
      </x:c>
      <x:c r="I551" s="8" t="str">
        <x:v>https://flo.uri.sh/visualisation/15494950/embed</x:v>
      </x:c>
    </x:row>
    <x:row r="552" ht="46" customHeight="1">
      <x:c r="A552" s="7" t="n">
        <x:v>548</x:v>
      </x:c>
      <x:c r="B552" s="12" t="str">
        <x:v>Lair Hill Park</x:v>
      </x:c>
      <x:c r="C552" s="12" t="str">
        <x:v>Workspace- Reconfiguration and Furnishing</x:v>
      </x:c>
      <x:c r="D552" s="12" t="str">
        <x:v>Carnegie Annex, ID-183</x:v>
      </x:c>
      <x:c r="E552" s="12" t="str">
        <x:v>Improvement Type: Building, Category: Interior, Subcategory: Furnishings, Description: Locker Rooms, Invest#: 183.08</x:v>
      </x:c>
      <x:c r="F552" s="21" t="n">
        <x:v>10000</x:v>
      </x:c>
      <x:c r="G552" s="7" t="str">
        <x:v>Buildings / building systems</x:v>
      </x:c>
      <x:c r="H552" s="7" t="str">
        <x:v>KGW November 2023 report; estimate dates not supplied</x:v>
      </x:c>
      <x:c r="I552" s="7" t="str">
        <x:v>https://flo.uri.sh/visualisation/15494950/embed</x:v>
      </x:c>
    </x:row>
    <x:row r="553" ht="46" customHeight="1">
      <x:c r="A553" s="8" t="n">
        <x:v>549</x:v>
      </x:c>
      <x:c r="B553" s="11" t="str">
        <x:v>Lan Su Chinese Garden</x:v>
      </x:c>
      <x:c r="C553" s="11" t="str">
        <x:v>structural evaluation of roof beams</x:v>
      </x:c>
      <x:c r="D553" s="11" t="str">
        <x:v>Lan Su Chinese Garden</x:v>
      </x:c>
      <x:c r="E553" s="11" t="str">
        <x:v>Jan 2018 Assessment revealed significantly crack roof beams.  Estimate for S.E. investigation only</x:v>
      </x:c>
      <x:c r="F553" s="20" t="n">
        <x:v>41977</x:v>
      </x:c>
      <x:c r="G553" s="8" t="str">
        <x:v>Buildings / building systems</x:v>
      </x:c>
      <x:c r="H553" s="8" t="str">
        <x:v>KGW November 2023 report; estimate dates not supplied</x:v>
      </x:c>
      <x:c r="I553" s="8" t="str">
        <x:v>https://flo.uri.sh/visualisation/15494950/embed</x:v>
      </x:c>
    </x:row>
    <x:row r="554" ht="46" customHeight="1">
      <x:c r="A554" s="7" t="n">
        <x:v>550</x:v>
      </x:c>
      <x:c r="B554" s="12" t="str">
        <x:v>Lan Su Chinese Garden</x:v>
      </x:c>
      <x:c r="C554" s="12" t="str">
        <x:v>Pathway Renovation</x:v>
      </x:c>
      <x:c r="D554" s="12" t="str">
        <x:v>Lan Su Chinese Garden</x:v>
      </x:c>
      <x:c r="E554" s="12" t="str">
        <x:v>Replace the damaged pathway, trails and sidewalks that have been rated as 4 and 5 in Pathway assessment</x:v>
      </x:c>
      <x:c r="F554" s="21" t="n">
        <x:v>136928</x:v>
      </x:c>
      <x:c r="G554" s="7" t="str">
        <x:v>Paths / access / bridges</x:v>
      </x:c>
      <x:c r="H554" s="7" t="str">
        <x:v>KGW November 2023 report; estimate dates not supplied</x:v>
      </x:c>
      <x:c r="I554" s="7" t="str">
        <x:v>https://flo.uri.sh/visualisation/15494950/embed</x:v>
      </x:c>
    </x:row>
    <x:row r="555" ht="46" customHeight="1">
      <x:c r="A555" s="8" t="n">
        <x:v>551</x:v>
      </x:c>
      <x:c r="B555" s="11" t="str">
        <x:v>Lan Su Chinese Garden</x:v>
      </x:c>
      <x:c r="C555" s="11" t="str">
        <x:v>Upgrade Fire Protection</x:v>
      </x:c>
      <x:c r="D555" s="11" t="str">
        <x:v>Lan Su Chinese Garden</x:v>
      </x:c>
      <x:c r="E555" s="11" t="str">
        <x:v>Provide automatic sprinklers throughout the facility.</x:v>
      </x:c>
      <x:c r="F555" s="20" t="n">
        <x:v>119933</x:v>
      </x:c>
      <x:c r="G555" s="8" t="str">
        <x:v>Other site infrastructure</x:v>
      </x:c>
      <x:c r="H555" s="8" t="str">
        <x:v>KGW November 2023 report; estimate dates not supplied</x:v>
      </x:c>
      <x:c r="I555" s="8" t="str">
        <x:v>https://flo.uri.sh/visualisation/15494950/embed</x:v>
      </x:c>
    </x:row>
    <x:row r="556" ht="46" customHeight="1">
      <x:c r="A556" s="7" t="n">
        <x:v>552</x:v>
      </x:c>
      <x:c r="B556" s="12" t="str">
        <x:v>Laurelhurst Park</x:v>
      </x:c>
      <x:c r="C556" s="12" t="str">
        <x:v>ESPC-II_ Laurelhurst Park</x:v>
      </x:c>
      <x:c r="D556" s="12" t="str"/>
      <x:c r="E556" s="12" t="str">
        <x:v>Replace Laurelhurst Park's old well pump/pump motor with a new and more efficient pump/pump motor.. FIM Name: 18.02-0224 Replace Well Pump</x:v>
      </x:c>
      <x:c r="F556" s="21" t="n">
        <x:v>92653</x:v>
      </x:c>
      <x:c r="G556" s="7" t="str">
        <x:v>Other site infrastructure</x:v>
      </x:c>
      <x:c r="H556" s="7" t="str">
        <x:v>KGW November 2023 report; estimate dates not supplied</x:v>
      </x:c>
      <x:c r="I556" s="7" t="str">
        <x:v>https://flo.uri.sh/visualisation/15494950/embed</x:v>
      </x:c>
    </x:row>
    <x:row r="557" ht="46" customHeight="1">
      <x:c r="A557" s="8" t="n">
        <x:v>553</x:v>
      </x:c>
      <x:c r="B557" s="11" t="str">
        <x:v>Laurelhurst Park</x:v>
      </x:c>
      <x:c r="C557" s="11" t="str">
        <x:v>Renovate Basketball sport court at Laurelhurst Park</x:v>
      </x:c>
      <x:c r="D557" s="11" t="str">
        <x:v>Basketball Court</x:v>
      </x:c>
      <x:c r="E557" s="11" t="str">
        <x:v>Sport court assessment: Fix or replace the Nike Resurf surface of the court that is rated 4 through courts' assessment
WO: Basketball court surface has large bubble around area that is already missing. Trip hazard needs repaired. Entire surface needs to be replaced</x:v>
      </x:c>
      <x:c r="F557" s="20" t="n">
        <x:v>798242</x:v>
      </x:c>
      <x:c r="G557" s="8" t="str">
        <x:v>Fields / courts / play</x:v>
      </x:c>
      <x:c r="H557" s="8" t="str">
        <x:v>KGW November 2023 report; estimate dates not supplied</x:v>
      </x:c>
      <x:c r="I557" s="8" t="str">
        <x:v>https://flo.uri.sh/visualisation/15494950/embed</x:v>
      </x:c>
    </x:row>
    <x:row r="558" ht="46" customHeight="1">
      <x:c r="A558" s="7" t="n">
        <x:v>554</x:v>
      </x:c>
      <x:c r="B558" s="12" t="str">
        <x:v>Laurelhurst Park</x:v>
      </x:c>
      <x:c r="C558" s="12" t="str">
        <x:v>ESPC-II_ Laurelhurst Park</x:v>
      </x:c>
      <x:c r="D558" s="12" t="str"/>
      <x:c r="E558" s="12" t="str">
        <x:v>Laurelhurst Park - Retro commission all irrigation sprinkler systems and heads to ensure proper thrown and timing. Replace 10% of all rotary and spray heads.. FIM Name: 18.10-0224 Irrigation System Improvements</x:v>
      </x:c>
      <x:c r="F558" s="21" t="n">
        <x:v>63802</x:v>
      </x:c>
      <x:c r="G558" s="7" t="str">
        <x:v>Utilities / lighting / drainage</x:v>
      </x:c>
      <x:c r="H558" s="7" t="str">
        <x:v>KGW November 2023 report; estimate dates not supplied</x:v>
      </x:c>
      <x:c r="I558" s="7" t="str">
        <x:v>https://flo.uri.sh/visualisation/15494950/embed</x:v>
      </x:c>
    </x:row>
    <x:row r="559" ht="46" customHeight="1">
      <x:c r="A559" s="8" t="n">
        <x:v>555</x:v>
      </x:c>
      <x:c r="B559" s="11" t="str">
        <x:v>Laurelhurst Park</x:v>
      </x:c>
      <x:c r="C559" s="11" t="str">
        <x:v>ESPC-II_ Laurelhurst Studio</x:v>
      </x:c>
      <x:c r="D559" s="11" t="str"/>
      <x:c r="E559" s="11" t="str">
        <x:v>Convert existing lighting to LED technology via a re-lamp approach.. FIM Name: 09.06-1114 Building Interior Lighting LED Conversion</x:v>
      </x:c>
      <x:c r="F559" s="20" t="n">
        <x:v>6929</x:v>
      </x:c>
      <x:c r="G559" s="8" t="str">
        <x:v>Buildings / building systems</x:v>
      </x:c>
      <x:c r="H559" s="8" t="str">
        <x:v>KGW November 2023 report; estimate dates not supplied</x:v>
      </x:c>
      <x:c r="I559" s="8" t="str">
        <x:v>https://flo.uri.sh/visualisation/15494950/embed</x:v>
      </x:c>
    </x:row>
    <x:row r="560" ht="46" customHeight="1">
      <x:c r="A560" s="7" t="n">
        <x:v>556</x:v>
      </x:c>
      <x:c r="B560" s="12" t="str">
        <x:v>Laurelhurst Park</x:v>
      </x:c>
      <x:c r="C560" s="12" t="str">
        <x:v>ESPC-II_ Laurelhurst Studio</x:v>
      </x:c>
      <x:c r="D560" s="12" t="str"/>
      <x:c r="E560" s="12" t="str">
        <x:v>Convert existing lighting to LED technology via a re-lamp approach.. FIM Name: 09.07-1114 Building Exterior Lighting LED Conversion</x:v>
      </x:c>
      <x:c r="F560" s="21" t="n">
        <x:v>513</x:v>
      </x:c>
      <x:c r="G560" s="7" t="str">
        <x:v>Buildings / building systems</x:v>
      </x:c>
      <x:c r="H560" s="7" t="str">
        <x:v>KGW November 2023 report; estimate dates not supplied</x:v>
      </x:c>
      <x:c r="I560" s="7" t="str">
        <x:v>https://flo.uri.sh/visualisation/15494950/embed</x:v>
      </x:c>
    </x:row>
    <x:row r="561" ht="46" customHeight="1">
      <x:c r="A561" s="8" t="n">
        <x:v>557</x:v>
      </x:c>
      <x:c r="B561" s="11" t="str">
        <x:v>Laurelhurst Park</x:v>
      </x:c>
      <x:c r="C561" s="11" t="str">
        <x:v>Replace old HVAC system</x:v>
      </x:c>
      <x:c r="D561" s="11" t="str">
        <x:v>Laurelhurst Studio and Ankeny building</x:v>
      </x:c>
      <x:c r="E561" s="11" t="str">
        <x:v>Placeholder: replace or upgrade HVAC system that was installed before 2000</x:v>
      </x:c>
      <x:c r="F561" s="20" t="n">
        <x:v>306001</x:v>
      </x:c>
      <x:c r="G561" s="8" t="str">
        <x:v>Buildings / building systems</x:v>
      </x:c>
      <x:c r="H561" s="8" t="str">
        <x:v>KGW November 2023 report; estimate dates not supplied</x:v>
      </x:c>
      <x:c r="I561" s="8" t="str">
        <x:v>https://flo.uri.sh/visualisation/15494950/embed</x:v>
      </x:c>
    </x:row>
    <x:row r="562" ht="46" customHeight="1">
      <x:c r="A562" s="7" t="n">
        <x:v>558</x:v>
      </x:c>
      <x:c r="B562" s="12" t="str">
        <x:v>Laurelhurst Park</x:v>
      </x:c>
      <x:c r="C562" s="12" t="str">
        <x:v>Replace Backflow preventer device</x:v>
      </x:c>
      <x:c r="D562" s="12" t="str">
        <x:v>Property</x:v>
      </x:c>
      <x:c r="E562" s="12" t="str">
        <x:v>- Replace out of compliance backflow preventers
- Assembly: Double Check Valve Assembly (DCVA)
- Move to property line, if needed
- Hazard: well site
- See components for detail</x:v>
      </x:c>
      <x:c r="F562" s="21" t="n">
        <x:v>30000</x:v>
      </x:c>
      <x:c r="G562" s="7" t="str">
        <x:v>Utilities / lighting / drainage</x:v>
      </x:c>
      <x:c r="H562" s="7" t="str">
        <x:v>KGW November 2023 report; estimate dates not supplied</x:v>
      </x:c>
      <x:c r="I562" s="7" t="str">
        <x:v>https://flo.uri.sh/visualisation/15494950/embed</x:v>
      </x:c>
    </x:row>
    <x:row r="563" ht="46" customHeight="1">
      <x:c r="A563" s="8" t="n">
        <x:v>559</x:v>
      </x:c>
      <x:c r="B563" s="11" t="str">
        <x:v>Laurelhurst Park</x:v>
      </x:c>
      <x:c r="C563" s="11" t="str">
        <x:v>ESPC-II_ Laurelhurst Park</x:v>
      </x:c>
      <x:c r="D563" s="11" t="str"/>
      <x:c r="E563" s="11" t="str">
        <x:v>Replace Laurelhurst Park's irrigation sump pump/pump motor with a new and more efficient pump/pump motor.. FIM Name: 18.11-0224 Replace Irrigation Pump(s)</x:v>
      </x:c>
      <x:c r="F563" s="20" t="n">
        <x:v>28826</x:v>
      </x:c>
      <x:c r="G563" s="8" t="str">
        <x:v>Utilities / lighting / drainage</x:v>
      </x:c>
      <x:c r="H563" s="8" t="str">
        <x:v>KGW November 2023 report; estimate dates not supplied</x:v>
      </x:c>
      <x:c r="I563" s="8" t="str">
        <x:v>https://flo.uri.sh/visualisation/15494950/embed</x:v>
      </x:c>
    </x:row>
    <x:row r="564" ht="46" customHeight="1">
      <x:c r="A564" s="7" t="n">
        <x:v>560</x:v>
      </x:c>
      <x:c r="B564" s="12" t="str">
        <x:v>Laurelhurst Park</x:v>
      </x:c>
      <x:c r="C564" s="12" t="str">
        <x:v>Tennis Courts Resurface</x:v>
      </x:c>
      <x:c r="D564" s="12" t="str">
        <x:v>Laurelhurst Park</x:v>
      </x:c>
      <x:c r="E564" s="12" t="str">
        <x:v>Resurface tennis courts.</x:v>
      </x:c>
      <x:c r="F564" s="21" t="n">
        <x:v>22929</x:v>
      </x:c>
      <x:c r="G564" s="7" t="str">
        <x:v>Fields / courts / play</x:v>
      </x:c>
      <x:c r="H564" s="7" t="str">
        <x:v>KGW November 2023 report; estimate dates not supplied</x:v>
      </x:c>
      <x:c r="I564" s="7" t="str">
        <x:v>https://flo.uri.sh/visualisation/15494950/embed</x:v>
      </x:c>
    </x:row>
    <x:row r="565" ht="46" customHeight="1">
      <x:c r="A565" s="8" t="n">
        <x:v>561</x:v>
      </x:c>
      <x:c r="B565" s="11" t="str">
        <x:v>Laurelhurst Park</x:v>
      </x:c>
      <x:c r="C565" s="11" t="str">
        <x:v>ESPC-II_ Laurelhurst Studio</x:v>
      </x:c>
      <x:c r="D565" s="11" t="str"/>
      <x:c r="E565" s="11" t="str">
        <x:v>Install low flow aerators, low flow shower heads, and RCx water closet flush valves.. FIM Name: 18.00-1114 Water Fixture Retrofits</x:v>
      </x:c>
      <x:c r="F565" s="20" t="n">
        <x:v>2633</x:v>
      </x:c>
      <x:c r="G565" s="8" t="str">
        <x:v>Utilities / lighting / drainage</x:v>
      </x:c>
      <x:c r="H565" s="8" t="str">
        <x:v>KGW November 2023 report; estimate dates not supplied</x:v>
      </x:c>
      <x:c r="I565" s="8" t="str">
        <x:v>https://flo.uri.sh/visualisation/15494950/embed</x:v>
      </x:c>
    </x:row>
    <x:row r="566" ht="46" customHeight="1">
      <x:c r="A566" s="7" t="n">
        <x:v>562</x:v>
      </x:c>
      <x:c r="B566" s="12" t="str">
        <x:v>Laurelhurst Park</x:v>
      </x:c>
      <x:c r="C566" s="12" t="str">
        <x:v>ESPC-II_ Laurelhurst Park</x:v>
      </x:c>
      <x:c r="D566" s="12" t="str"/>
      <x:c r="E566" s="12" t="str">
        <x:v>Convert existing lighting to LED technology via a re-lamp approach.. FIM Name: 09.06-0224 Building Interior Lighting LED Conversion</x:v>
      </x:c>
      <x:c r="F566" s="21" t="n">
        <x:v>2510</x:v>
      </x:c>
      <x:c r="G566" s="7" t="str">
        <x:v>Buildings / building systems</x:v>
      </x:c>
      <x:c r="H566" s="7" t="str">
        <x:v>KGW November 2023 report; estimate dates not supplied</x:v>
      </x:c>
      <x:c r="I566" s="7" t="str">
        <x:v>https://flo.uri.sh/visualisation/15494950/embed</x:v>
      </x:c>
    </x:row>
    <x:row r="567" ht="46" customHeight="1">
      <x:c r="A567" s="8" t="n">
        <x:v>563</x:v>
      </x:c>
      <x:c r="B567" s="11" t="str">
        <x:v>Laurelhurst Park</x:v>
      </x:c>
      <x:c r="C567" s="11" t="str">
        <x:v>ESPC-II_ Laurelhurst Studio</x:v>
      </x:c>
      <x:c r="D567" s="11" t="str"/>
      <x:c r="E567" s="11" t="str">
        <x:v>Install a GE control node on each pathway light fixture.  Node for parks with &lt;50 fixtures will be model #ELWM18BXXXXAD.  Node for parks with &gt;50 fixtures will be model #ELWN08BXXXXAD.. FIM Name: 09.17-1114 Building Exterior Lighting Controls</x:v>
      </x:c>
      <x:c r="F567" s="20" t="n">
        <x:v>2197</x:v>
      </x:c>
      <x:c r="G567" s="8" t="str">
        <x:v>Buildings / building systems</x:v>
      </x:c>
      <x:c r="H567" s="8" t="str">
        <x:v>KGW November 2023 report; estimate dates not supplied</x:v>
      </x:c>
      <x:c r="I567" s="8" t="str">
        <x:v>https://flo.uri.sh/visualisation/15494950/embed</x:v>
      </x:c>
    </x:row>
    <x:row r="568" ht="46" customHeight="1">
      <x:c r="A568" s="7" t="n">
        <x:v>564</x:v>
      </x:c>
      <x:c r="B568" s="12" t="str">
        <x:v>Laurelhurst Park</x:v>
      </x:c>
      <x:c r="C568" s="12" t="str">
        <x:v>ESPC-II_ Laurelhurst Park</x:v>
      </x:c>
      <x:c r="D568" s="12" t="str"/>
      <x:c r="E568" s="12" t="str">
        <x:v>Convert existing lighting to LED technology via a re-lamp approach.. FIM Name: 09.07-0224 Building Exterior Lighting LED Conversion</x:v>
      </x:c>
      <x:c r="F568" s="21" t="n">
        <x:v>2057</x:v>
      </x:c>
      <x:c r="G568" s="7" t="str">
        <x:v>Buildings / building systems</x:v>
      </x:c>
      <x:c r="H568" s="7" t="str">
        <x:v>KGW November 2023 report; estimate dates not supplied</x:v>
      </x:c>
      <x:c r="I568" s="7" t="str">
        <x:v>https://flo.uri.sh/visualisation/15494950/embed</x:v>
      </x:c>
    </x:row>
    <x:row r="569" ht="46" customHeight="1">
      <x:c r="A569" s="8" t="n">
        <x:v>565</x:v>
      </x:c>
      <x:c r="B569" s="11" t="str">
        <x:v>Laurelhurst Park</x:v>
      </x:c>
      <x:c r="C569" s="11" t="str">
        <x:v>Pathway Renovation</x:v>
      </x:c>
      <x:c r="D569" s="11" t="str">
        <x:v>Internal Pathway/ Sidewalk</x:v>
      </x:c>
      <x:c r="E569" s="11" t="str">
        <x:v>Replace the damaged pathway, trails and sidewalks that have been rated as 4 and 5 in Pathway assessment</x:v>
      </x:c>
      <x:c r="F569" s="20" t="n">
        <x:v>135262</x:v>
      </x:c>
      <x:c r="G569" s="8" t="str">
        <x:v>Paths / access / bridges</x:v>
      </x:c>
      <x:c r="H569" s="8" t="str">
        <x:v>KGW November 2023 report; estimate dates not supplied</x:v>
      </x:c>
      <x:c r="I569" s="8" t="str">
        <x:v>https://flo.uri.sh/visualisation/15494950/embed</x:v>
      </x:c>
    </x:row>
    <x:row r="570" ht="46" customHeight="1">
      <x:c r="A570" s="7" t="n">
        <x:v>566</x:v>
      </x:c>
      <x:c r="B570" s="12" t="str">
        <x:v>Laurelhurst Park</x:v>
      </x:c>
      <x:c r="C570" s="12" t="str">
        <x:v>ESPC-II_ Laurelhurst Park</x:v>
      </x:c>
      <x:c r="D570" s="12" t="str"/>
      <x:c r="E570" s="12" t="str">
        <x:v>Refurbish existing well at Laurelhurst Park via sonar-jet cleaning of well casing to disintegrate mineral and bacterial deposits.. FIM Name: 18.01-0224 Refurbish Existing Well</x:v>
      </x:c>
      <x:c r="F570" s="21" t="n">
        <x:v>10606</x:v>
      </x:c>
      <x:c r="G570" s="7" t="str">
        <x:v>Other site infrastructure</x:v>
      </x:c>
      <x:c r="H570" s="7" t="str">
        <x:v>KGW November 2023 report; estimate dates not supplied</x:v>
      </x:c>
      <x:c r="I570" s="7" t="str">
        <x:v>https://flo.uri.sh/visualisation/15494950/embed</x:v>
      </x:c>
    </x:row>
    <x:row r="571" ht="46" customHeight="1">
      <x:c r="A571" s="8" t="n">
        <x:v>567</x:v>
      </x:c>
      <x:c r="B571" s="11" t="str">
        <x:v>Laurelhurst Park</x:v>
      </x:c>
      <x:c r="C571" s="11" t="str">
        <x:v>Remove fence compromise trees</x:v>
      </x:c>
      <x:c r="D571" s="11" t="str">
        <x:v>Fence</x:v>
      </x:c>
      <x:c r="E571" s="11" t="str">
        <x:v>Short-term fix: Remove fencing that is compromising trees in Laurelhurst Studio/Sports field block. Install plastic construction fencing or other material to create a barrier between the park and street without injuring the trees.
Long Term Fix: Replace entire fence around Laurelhurst Studio/Sports Field block. Fence is old and causing damage to many trees in the area.</x:v>
      </x:c>
      <x:c r="F571" s="20" t="n">
        <x:v>10200</x:v>
      </x:c>
      <x:c r="G571" s="8" t="str">
        <x:v>Fields / courts / play</x:v>
      </x:c>
      <x:c r="H571" s="8" t="str">
        <x:v>KGW November 2023 report; estimate dates not supplied</x:v>
      </x:c>
      <x:c r="I571" s="8" t="str">
        <x:v>https://flo.uri.sh/visualisation/15494950/embed</x:v>
      </x:c>
    </x:row>
    <x:row r="572" ht="46" customHeight="1">
      <x:c r="A572" s="7" t="n">
        <x:v>568</x:v>
      </x:c>
      <x:c r="B572" s="12" t="str">
        <x:v>Laurelhurst Park</x:v>
      </x:c>
      <x:c r="C572" s="12" t="str">
        <x:v>ESPC-II_ Laurelhurst Studio</x:v>
      </x:c>
      <x:c r="D572" s="12" t="str"/>
      <x:c r="E572" s="12" t="str">
        <x:v>Tighten schedules and setpoints to match occupancy and maintain a 5F deadband between occupied heating and cooling setpoints.. FIM Name: 04.01-1114 DDC/Control System Optimization</x:v>
      </x:c>
      <x:c r="F572" s="21" t="n">
        <x:v>1997</x:v>
      </x:c>
      <x:c r="G572" s="7" t="str">
        <x:v>Other site infrastructure</x:v>
      </x:c>
      <x:c r="H572" s="7" t="str">
        <x:v>KGW November 2023 report; estimate dates not supplied</x:v>
      </x:c>
      <x:c r="I572" s="7" t="str">
        <x:v>https://flo.uri.sh/visualisation/15494950/embed</x:v>
      </x:c>
    </x:row>
    <x:row r="573" ht="46" customHeight="1">
      <x:c r="A573" s="8" t="n">
        <x:v>569</x:v>
      </x:c>
      <x:c r="B573" s="11" t="str">
        <x:v>Laurelhurst Park</x:v>
      </x:c>
      <x:c r="C573" s="11" t="str">
        <x:v>ESPC-II_ Laurelhurst Park</x:v>
      </x:c>
      <x:c r="D573" s="11" t="str"/>
      <x:c r="E573" s="11" t="str">
        <x:v>Install a GE control node on each pathway light fixture.  Node for parks with &lt;50 fixtures will be model #ELWM18BXXXXAD.  Node for parks with &gt;50 fixtures will be model #ELWN08BXXXXAD.. FIM Name: 09.17-0224 Building Exterior Lighting Controls</x:v>
      </x:c>
      <x:c r="F573" s="20" t="n">
        <x:v>1464</x:v>
      </x:c>
      <x:c r="G573" s="8" t="str">
        <x:v>Buildings / building systems</x:v>
      </x:c>
      <x:c r="H573" s="8" t="str">
        <x:v>KGW November 2023 report; estimate dates not supplied</x:v>
      </x:c>
      <x:c r="I573" s="8" t="str">
        <x:v>https://flo.uri.sh/visualisation/15494950/embed</x:v>
      </x:c>
    </x:row>
    <x:row r="574" ht="46" customHeight="1">
      <x:c r="A574" s="7" t="n">
        <x:v>570</x:v>
      </x:c>
      <x:c r="B574" s="12" t="str">
        <x:v>Laurelwood Park</x:v>
      </x:c>
      <x:c r="C574" s="12" t="str">
        <x:v>Pathway Renovation</x:v>
      </x:c>
      <x:c r="D574" s="12" t="str">
        <x:v>Laurelwood Park</x:v>
      </x:c>
      <x:c r="E574" s="12" t="str">
        <x:v>Replace the damaged pathway, trails and sidewalks that have been rated as 4 and 5 in Pathway assessment</x:v>
      </x:c>
      <x:c r="F574" s="21" t="n">
        <x:v>65194</x:v>
      </x:c>
      <x:c r="G574" s="7" t="str">
        <x:v>Paths / access / bridges</x:v>
      </x:c>
      <x:c r="H574" s="7" t="str">
        <x:v>KGW November 2023 report; estimate dates not supplied</x:v>
      </x:c>
      <x:c r="I574" s="7" t="str">
        <x:v>https://flo.uri.sh/visualisation/15494950/embed</x:v>
      </x:c>
    </x:row>
    <x:row r="575" ht="46" customHeight="1">
      <x:c r="A575" s="8" t="n">
        <x:v>571</x:v>
      </x:c>
      <x:c r="B575" s="11" t="str">
        <x:v>Leach Botanical Garden</x:v>
      </x:c>
      <x:c r="C575" s="11" t="str">
        <x:v>Manor House - Retaining Wall</x:v>
      </x:c>
      <x:c r="D575" s="11" t="str">
        <x:v>Leach Botanical Garden</x:v>
      </x:c>
      <x:c r="E575" s="11" t="str">
        <x:v>Repair retaining wall below the manor.  Showing signs of distress.</x:v>
      </x:c>
      <x:c r="F575" s="20" t="n">
        <x:v>913239</x:v>
      </x:c>
      <x:c r="G575" s="8" t="str">
        <x:v>Buildings / building systems</x:v>
      </x:c>
      <x:c r="H575" s="8" t="str">
        <x:v>KGW November 2023 report; estimate dates not supplied</x:v>
      </x:c>
      <x:c r="I575" s="8" t="str">
        <x:v>https://flo.uri.sh/visualisation/15494950/embed</x:v>
      </x:c>
    </x:row>
    <x:row r="576" ht="46" customHeight="1">
      <x:c r="A576" s="7" t="n">
        <x:v>572</x:v>
      </x:c>
      <x:c r="B576" s="12" t="str">
        <x:v>Leach Botanical Garden</x:v>
      </x:c>
      <x:c r="C576" s="12" t="str">
        <x:v>Renovate the Roof of Residence building</x:v>
      </x:c>
      <x:c r="D576" s="12" t="str">
        <x:v>South Stone Residence</x:v>
      </x:c>
      <x:c r="E576" s="12" t="str">
        <x:v>Fix or replace the Roof that is rated 4 through buildings' assessment</x:v>
      </x:c>
      <x:c r="F576" s="21" t="n">
        <x:v>90765</x:v>
      </x:c>
      <x:c r="G576" s="7" t="str">
        <x:v>Buildings / building systems</x:v>
      </x:c>
      <x:c r="H576" s="7" t="str">
        <x:v>KGW November 2023 report; estimate dates not supplied</x:v>
      </x:c>
      <x:c r="I576" s="7" t="str">
        <x:v>https://flo.uri.sh/visualisation/15494950/embed</x:v>
      </x:c>
    </x:row>
    <x:row r="577" ht="46" customHeight="1">
      <x:c r="A577" s="8" t="n">
        <x:v>573</x:v>
      </x:c>
      <x:c r="B577" s="11" t="str">
        <x:v>Leach Botanical Garden</x:v>
      </x:c>
      <x:c r="C577" s="11" t="str">
        <x:v>Renovate the Structure of Administration building</x:v>
      </x:c>
      <x:c r="D577" s="11" t="str">
        <x:v>Garden Office</x:v>
      </x:c>
      <x:c r="E577" s="11" t="str">
        <x:v>Fix or replace the Structure that is rated 4 through buildings' assessment</x:v>
      </x:c>
      <x:c r="F577" s="20" t="n">
        <x:v>632100</x:v>
      </x:c>
      <x:c r="G577" s="8" t="str">
        <x:v>Buildings / building systems</x:v>
      </x:c>
      <x:c r="H577" s="8" t="str">
        <x:v>KGW November 2023 report; estimate dates not supplied</x:v>
      </x:c>
      <x:c r="I577" s="8" t="str">
        <x:v>https://flo.uri.sh/visualisation/15494950/embed</x:v>
      </x:c>
    </x:row>
    <x:row r="578" ht="46" customHeight="1">
      <x:c r="A578" s="7" t="n">
        <x:v>574</x:v>
      </x:c>
      <x:c r="B578" s="12" t="str">
        <x:v>Leach Botanical Garden</x:v>
      </x:c>
      <x:c r="C578" s="12" t="str">
        <x:v>Replace Pedestrian Bridge</x:v>
      </x:c>
      <x:c r="D578" s="12" t="str">
        <x:v>Bridge</x:v>
      </x:c>
      <x:c r="E578" s="12" t="str">
        <x:v>the pedestrian bridge over the creek at leach botanical garden, floated away and needs to be scrapped</x:v>
      </x:c>
      <x:c r="F578" s="21" t="n">
        <x:v>546732</x:v>
      </x:c>
      <x:c r="G578" s="7" t="str">
        <x:v>Paths / access / bridges</x:v>
      </x:c>
      <x:c r="H578" s="7" t="str">
        <x:v>KGW November 2023 report; estimate dates not supplied</x:v>
      </x:c>
      <x:c r="I578" s="7" t="str">
        <x:v>https://flo.uri.sh/visualisation/15494950/embed</x:v>
      </x:c>
    </x:row>
    <x:row r="579" ht="46" customHeight="1">
      <x:c r="A579" s="8" t="n">
        <x:v>575</x:v>
      </x:c>
      <x:c r="B579" s="11" t="str">
        <x:v>Leach Botanical Garden</x:v>
      </x:c>
      <x:c r="C579" s="11" t="str">
        <x:v>Renovate buildings in Leach Botanical Garden</x:v>
      </x:c>
      <x:c r="D579" s="11" t="str">
        <x:v>Buildings</x:v>
      </x:c>
      <x:c r="E579" s="11" t="str">
        <x:v>Renovate Manor house/gift shop, Carriage House, Stone Cabin, and remove Aluminum Bridge
Cost details in attached project summary</x:v>
      </x:c>
      <x:c r="F579" s="20" t="n">
        <x:v>3608432</x:v>
      </x:c>
      <x:c r="G579" s="8" t="str">
        <x:v>Buildings / building systems</x:v>
      </x:c>
      <x:c r="H579" s="8" t="str">
        <x:v>KGW November 2023 report; estimate dates not supplied</x:v>
      </x:c>
      <x:c r="I579" s="8" t="str">
        <x:v>https://flo.uri.sh/visualisation/15494950/embed</x:v>
      </x:c>
    </x:row>
    <x:row r="580" ht="46" customHeight="1">
      <x:c r="A580" s="7" t="n">
        <x:v>576</x:v>
      </x:c>
      <x:c r="B580" s="12" t="str">
        <x:v>Leach Botanical Garden</x:v>
      </x:c>
      <x:c r="C580" s="12" t="str">
        <x:v>Renovate parking lot_Parking Area A</x:v>
      </x:c>
      <x:c r="D580" s="12" t="str">
        <x:v>Parking Area A</x:v>
      </x:c>
      <x:c r="E580" s="12" t="str">
        <x:v>Repair parking lot that was rated 5 in condition assessment. Repair include surface, drainage and curb. approx area= 10506 sq.ft</x:v>
      </x:c>
      <x:c r="F580" s="21" t="n">
        <x:v>286402</x:v>
      </x:c>
      <x:c r="G580" s="7" t="str">
        <x:v>Utilities / lighting / drainage</x:v>
      </x:c>
      <x:c r="H580" s="7" t="str">
        <x:v>KGW November 2023 report; estimate dates not supplied</x:v>
      </x:c>
      <x:c r="I580" s="7" t="str">
        <x:v>https://flo.uri.sh/visualisation/15494950/embed</x:v>
      </x:c>
    </x:row>
    <x:row r="581" ht="46" customHeight="1">
      <x:c r="A581" s="8" t="n">
        <x:v>577</x:v>
      </x:c>
      <x:c r="B581" s="11" t="str">
        <x:v>Leach Botanical Garden</x:v>
      </x:c>
      <x:c r="C581" s="11" t="str">
        <x:v>Pathway Renovation</x:v>
      </x:c>
      <x:c r="D581" s="11" t="str">
        <x:v>Leach Botanical Garden</x:v>
      </x:c>
      <x:c r="E581" s="11" t="str">
        <x:v>Replace the damaged pathway, trails and sidewalks that have been rated as 4 and 5 in Pathway assessment</x:v>
      </x:c>
      <x:c r="F581" s="20" t="n">
        <x:v>28818</x:v>
      </x:c>
      <x:c r="G581" s="8" t="str">
        <x:v>Paths / access / bridges</x:v>
      </x:c>
      <x:c r="H581" s="8" t="str">
        <x:v>KGW November 2023 report; estimate dates not supplied</x:v>
      </x:c>
      <x:c r="I581" s="8" t="str">
        <x:v>https://flo.uri.sh/visualisation/15494950/embed</x:v>
      </x:c>
    </x:row>
    <x:row r="582" ht="46" customHeight="1">
      <x:c r="A582" s="7" t="n">
        <x:v>578</x:v>
      </x:c>
      <x:c r="B582" s="12" t="str">
        <x:v>Leach Botanical Garden</x:v>
      </x:c>
      <x:c r="C582" s="12" t="str">
        <x:v>Renovate the Structure of Visitor Services building</x:v>
      </x:c>
      <x:c r="D582" s="12" t="str">
        <x:v>Carriage House</x:v>
      </x:c>
      <x:c r="E582" s="12" t="str">
        <x:v>Fix or replace the Structure that is rated 4 through buildings' assessment</x:v>
      </x:c>
      <x:c r="F582" s="21" t="n">
        <x:v>190719</x:v>
      </x:c>
      <x:c r="G582" s="7" t="str">
        <x:v>Buildings / building systems</x:v>
      </x:c>
      <x:c r="H582" s="7" t="str">
        <x:v>KGW November 2023 report; estimate dates not supplied</x:v>
      </x:c>
      <x:c r="I582" s="7" t="str">
        <x:v>https://flo.uri.sh/visualisation/15494950/embed</x:v>
      </x:c>
    </x:row>
    <x:row r="583" ht="46" customHeight="1">
      <x:c r="A583" s="8" t="n">
        <x:v>579</x:v>
      </x:c>
      <x:c r="B583" s="11" t="str">
        <x:v>Lee (Jason) Elementary School</x:v>
      </x:c>
      <x:c r="C583" s="11" t="str">
        <x:v>Pathway Renovation</x:v>
      </x:c>
      <x:c r="D583" s="11" t="str">
        <x:v>Internal Pathway/ Sidewalk</x:v>
      </x:c>
      <x:c r="E583" s="11" t="str">
        <x:v>Replace the damaged pathway, trails and sidewalks that have been rated as 4 and 5 in Pathway assessment</x:v>
      </x:c>
      <x:c r="F583" s="20" t="n">
        <x:v>33808</x:v>
      </x:c>
      <x:c r="G583" s="8" t="str">
        <x:v>Paths / access / bridges</x:v>
      </x:c>
      <x:c r="H583" s="8" t="str">
        <x:v>KGW November 2023 report; estimate dates not supplied</x:v>
      </x:c>
      <x:c r="I583" s="8" t="str">
        <x:v>https://flo.uri.sh/visualisation/15494950/embed</x:v>
      </x:c>
    </x:row>
    <x:row r="584" ht="46" customHeight="1">
      <x:c r="A584" s="7" t="n">
        <x:v>580</x:v>
      </x:c>
      <x:c r="B584" s="12" t="str">
        <x:v>Lents Park</x:v>
      </x:c>
      <x:c r="C584" s="12" t="str">
        <x:v>Renovate the Roof of Restroom building</x:v>
      </x:c>
      <x:c r="D584" s="12" t="str">
        <x:v>Restroom A</x:v>
      </x:c>
      <x:c r="E584" s="12" t="str">
        <x:v>Fix or replace the Roof that is rated 4 through buildings' assessment</x:v>
      </x:c>
      <x:c r="F584" s="21" t="n">
        <x:v>98585</x:v>
      </x:c>
      <x:c r="G584" s="7" t="str">
        <x:v>Buildings / building systems</x:v>
      </x:c>
      <x:c r="H584" s="7" t="str">
        <x:v>KGW November 2023 report; estimate dates not supplied</x:v>
      </x:c>
      <x:c r="I584" s="7" t="str">
        <x:v>https://flo.uri.sh/visualisation/15494950/embed</x:v>
      </x:c>
    </x:row>
    <x:row r="585" ht="46" customHeight="1">
      <x:c r="A585" s="8" t="n">
        <x:v>581</x:v>
      </x:c>
      <x:c r="B585" s="11" t="str">
        <x:v>Lents Park</x:v>
      </x:c>
      <x:c r="C585" s="11" t="str">
        <x:v>Renovate parking lot_Parking Area D</x:v>
      </x:c>
      <x:c r="D585" s="11" t="str">
        <x:v>Parking Area D</x:v>
      </x:c>
      <x:c r="E585" s="11" t="str">
        <x:v>Repair parking lot that was rated 4 in condition assessment. Repair include surface, drainage and curb. approx area= 52277 sq.ft</x:v>
      </x:c>
      <x:c r="F585" s="20" t="n">
        <x:v>854732</x:v>
      </x:c>
      <x:c r="G585" s="8" t="str">
        <x:v>Utilities / lighting / drainage</x:v>
      </x:c>
      <x:c r="H585" s="8" t="str">
        <x:v>KGW November 2023 report; estimate dates not supplied</x:v>
      </x:c>
      <x:c r="I585" s="8" t="str">
        <x:v>https://flo.uri.sh/visualisation/15494950/embed</x:v>
      </x:c>
    </x:row>
    <x:row r="586" ht="46" customHeight="1">
      <x:c r="A586" s="7" t="n">
        <x:v>582</x:v>
      </x:c>
      <x:c r="B586" s="12" t="str">
        <x:v>Lents Park</x:v>
      </x:c>
      <x:c r="C586" s="12" t="str">
        <x:v>ESPC-II_ Lents Park</x:v>
      </x:c>
      <x:c r="D586" s="12" t="str"/>
      <x:c r="E586" s="12" t="str">
        <x:v>Replace Lents Park's old well pump/pump motor with a new and more efficient pump/pump motor.. FIM Name: 18.02-0234 Replace Well Pump</x:v>
      </x:c>
      <x:c r="F586" s="21" t="n">
        <x:v>80884</x:v>
      </x:c>
      <x:c r="G586" s="7" t="str">
        <x:v>Other site infrastructure</x:v>
      </x:c>
      <x:c r="H586" s="7" t="str">
        <x:v>KGW November 2023 report; estimate dates not supplied</x:v>
      </x:c>
      <x:c r="I586" s="7" t="str">
        <x:v>https://flo.uri.sh/visualisation/15494950/embed</x:v>
      </x:c>
    </x:row>
    <x:row r="587" ht="46" customHeight="1">
      <x:c r="A587" s="8" t="n">
        <x:v>583</x:v>
      </x:c>
      <x:c r="B587" s="11" t="str">
        <x:v>Lents Park</x:v>
      </x:c>
      <x:c r="C587" s="11" t="str">
        <x:v>Replace sport field surface</x:v>
      </x:c>
      <x:c r="D587" s="11" t="str">
        <x:v>sport field</x:v>
      </x:c>
      <x:c r="E587" s="11" t="str">
        <x:v>Recurrence project to replace sport field turf every 10 years</x:v>
      </x:c>
      <x:c r="F587" s="20" t="n">
        <x:v>750000</x:v>
      </x:c>
      <x:c r="G587" s="8" t="str">
        <x:v>Fields / courts / play</x:v>
      </x:c>
      <x:c r="H587" s="8" t="str">
        <x:v>KGW November 2023 report; estimate dates not supplied</x:v>
      </x:c>
      <x:c r="I587" s="8" t="str">
        <x:v>https://flo.uri.sh/visualisation/15494950/embed</x:v>
      </x:c>
    </x:row>
    <x:row r="588" ht="46" customHeight="1">
      <x:c r="A588" s="7" t="n">
        <x:v>584</x:v>
      </x:c>
      <x:c r="B588" s="12" t="str">
        <x:v>Lents Park</x:v>
      </x:c>
      <x:c r="C588" s="12" t="str">
        <x:v>Renovate the Roof of Restroom - Storage building</x:v>
      </x:c>
      <x:c r="D588" s="12" t="str">
        <x:v>Restroom B</x:v>
      </x:c>
      <x:c r="E588" s="12" t="str">
        <x:v>Fix or replace the Roof that is rated 4 through buildings' assessment</x:v>
      </x:c>
      <x:c r="F588" s="21" t="n">
        <x:v>67834</x:v>
      </x:c>
      <x:c r="G588" s="7" t="str">
        <x:v>Buildings / building systems</x:v>
      </x:c>
      <x:c r="H588" s="7" t="str">
        <x:v>KGW November 2023 report; estimate dates not supplied</x:v>
      </x:c>
      <x:c r="I588" s="7" t="str">
        <x:v>https://flo.uri.sh/visualisation/15494950/embed</x:v>
      </x:c>
    </x:row>
    <x:row r="589" ht="46" customHeight="1">
      <x:c r="A589" s="8" t="n">
        <x:v>585</x:v>
      </x:c>
      <x:c r="B589" s="11" t="str">
        <x:v>Lents Park</x:v>
      </x:c>
      <x:c r="C589" s="11" t="str">
        <x:v>PREPHub Pilot Project</x:v>
      </x:c>
      <x:c r="D589" s="11" t="str">
        <x:v>Lents Park</x:v>
      </x:c>
      <x:c r="E589" s="11" t="str">
        <x:v>Emergency gathering stations</x:v>
      </x:c>
      <x:c r="F589" s="20" t="n">
        <x:v>59967</x:v>
      </x:c>
      <x:c r="G589" s="8" t="str">
        <x:v>Other site infrastructure</x:v>
      </x:c>
      <x:c r="H589" s="8" t="str">
        <x:v>KGW November 2023 report; estimate dates not supplied</x:v>
      </x:c>
      <x:c r="I589" s="8" t="str">
        <x:v>https://flo.uri.sh/visualisation/15494950/embed</x:v>
      </x:c>
    </x:row>
    <x:row r="590" ht="46" customHeight="1">
      <x:c r="A590" s="7" t="n">
        <x:v>586</x:v>
      </x:c>
      <x:c r="B590" s="12" t="str">
        <x:v>Lents Park</x:v>
      </x:c>
      <x:c r="C590" s="12" t="str">
        <x:v>Pathway Renovation</x:v>
      </x:c>
      <x:c r="D590" s="12" t="str">
        <x:v>Internal Pathway/ Sidewalk</x:v>
      </x:c>
      <x:c r="E590" s="12" t="str">
        <x:v>Replace the damaged pathway, trails and sidewalks that have been rated as 4 and 5 in Pathway assessment</x:v>
      </x:c>
      <x:c r="F590" s="21" t="n">
        <x:v>48969</x:v>
      </x:c>
      <x:c r="G590" s="7" t="str">
        <x:v>Paths / access / bridges</x:v>
      </x:c>
      <x:c r="H590" s="7" t="str">
        <x:v>KGW November 2023 report; estimate dates not supplied</x:v>
      </x:c>
      <x:c r="I590" s="7" t="str">
        <x:v>https://flo.uri.sh/visualisation/15494950/embed</x:v>
      </x:c>
    </x:row>
    <x:row r="591" ht="46" customHeight="1">
      <x:c r="A591" s="8" t="n">
        <x:v>587</x:v>
      </x:c>
      <x:c r="B591" s="11" t="str">
        <x:v>Lents Park</x:v>
      </x:c>
      <x:c r="C591" s="11" t="str">
        <x:v>Tennis Court Lighting Replacement</x:v>
      </x:c>
      <x:c r="D591" s="11" t="str">
        <x:v>Lents Park</x:v>
      </x:c>
      <x:c r="E591" s="11" t="str">
        <x:v>Replace light fixtures for energy efficiency and directionality at Lents Tennic Courts.</x:v>
      </x:c>
      <x:c r="F591" s="20" t="n">
        <x:v>21673</x:v>
      </x:c>
      <x:c r="G591" s="8" t="str">
        <x:v>Fields / courts / play</x:v>
      </x:c>
      <x:c r="H591" s="8" t="str">
        <x:v>KGW November 2023 report; estimate dates not supplied</x:v>
      </x:c>
      <x:c r="I591" s="8" t="str">
        <x:v>https://flo.uri.sh/visualisation/15494950/embed</x:v>
      </x:c>
    </x:row>
    <x:row r="592" ht="46" customHeight="1">
      <x:c r="A592" s="7" t="n">
        <x:v>588</x:v>
      </x:c>
      <x:c r="B592" s="12" t="str">
        <x:v>Lents Park</x:v>
      </x:c>
      <x:c r="C592" s="12" t="str">
        <x:v>ESPC-II_ Lents Park</x:v>
      </x:c>
      <x:c r="D592" s="12" t="str"/>
      <x:c r="E592" s="12" t="str">
        <x:v>Install a GE control node on each pathway light fixture.  Node for parks with &lt;50 fixtures will be model #ELWM18BXXXXAD.  Node for parks with &gt;50 fixtures will be model #ELWN08BXXXXAD.. FIM Name: 09.17-0234 Building Exterior Lighting Controls</x:v>
      </x:c>
      <x:c r="F592" s="21" t="n">
        <x:v>2564</x:v>
      </x:c>
      <x:c r="G592" s="7" t="str">
        <x:v>Buildings / building systems</x:v>
      </x:c>
      <x:c r="H592" s="7" t="str">
        <x:v>KGW November 2023 report; estimate dates not supplied</x:v>
      </x:c>
      <x:c r="I592" s="7" t="str">
        <x:v>https://flo.uri.sh/visualisation/15494950/embed</x:v>
      </x:c>
    </x:row>
    <x:row r="593" ht="46" customHeight="1">
      <x:c r="A593" s="8" t="n">
        <x:v>589</x:v>
      </x:c>
      <x:c r="B593" s="11" t="str">
        <x:v>Lents Park</x:v>
      </x:c>
      <x:c r="C593" s="11" t="str">
        <x:v>ESPC-II_ Lents Park</x:v>
      </x:c>
      <x:c r="D593" s="11" t="str"/>
      <x:c r="E593" s="11" t="str">
        <x:v>Refurbish existing well at Lents Park via sonar-jet cleaning of well casing to disintegrate mineral and bacterial deposits.. FIM Name: 18.01-0234 Refurbish Existing Well</x:v>
      </x:c>
      <x:c r="F593" s="20" t="n">
        <x:v>18559</x:v>
      </x:c>
      <x:c r="G593" s="8" t="str">
        <x:v>Other site infrastructure</x:v>
      </x:c>
      <x:c r="H593" s="8" t="str">
        <x:v>KGW November 2023 report; estimate dates not supplied</x:v>
      </x:c>
      <x:c r="I593" s="8" t="str">
        <x:v>https://flo.uri.sh/visualisation/15494950/embed</x:v>
      </x:c>
    </x:row>
    <x:row r="594" ht="46" customHeight="1">
      <x:c r="A594" s="7" t="n">
        <x:v>590</x:v>
      </x:c>
      <x:c r="B594" s="12" t="str">
        <x:v>Lents Park</x:v>
      </x:c>
      <x:c r="C594" s="12" t="str">
        <x:v>Roof repair replacment</x:v>
      </x:c>
      <x:c r="D594" s="12" t="str">
        <x:v>Restroom A</x:v>
      </x:c>
      <x:c r="E594" s="12" t="str">
        <x:v>Replace roof on restroom and internal finishing at Lents Park.  Replaces previous CIP 2287, projects were split out by site.</x:v>
      </x:c>
      <x:c r="F594" s="21" t="n">
        <x:v>15481</x:v>
      </x:c>
      <x:c r="G594" s="7" t="str">
        <x:v>Buildings / building systems</x:v>
      </x:c>
      <x:c r="H594" s="7" t="str">
        <x:v>KGW November 2023 report; estimate dates not supplied</x:v>
      </x:c>
      <x:c r="I594" s="7" t="str">
        <x:v>https://flo.uri.sh/visualisation/15494950/embed</x:v>
      </x:c>
    </x:row>
    <x:row r="595" ht="46" customHeight="1">
      <x:c r="A595" s="8" t="n">
        <x:v>591</x:v>
      </x:c>
      <x:c r="B595" s="11" t="str">
        <x:v>Lents Park</x:v>
      </x:c>
      <x:c r="C595" s="11" t="str">
        <x:v>Repair steps to Pavilion</x:v>
      </x:c>
      <x:c r="D595" s="11" t="str">
        <x:v>Lents Park</x:v>
      </x:c>
      <x:c r="E595" s="11" t="str">
        <x:v>-Stair steps to Pavilion seating third base side: repair top step.  Top step is fractional higher rise and  at an angel.  Trip hazzard.
- the stairs are exactly the same height all the way up until you reach the top.  And up there, it is higher on one side than the other and at a bit of an angle.  The last game I was at on 8/2, there were several people that tripped and fell coming up those stairs.</x:v>
      </x:c>
      <x:c r="F595" s="20" t="n">
        <x:v>11760</x:v>
      </x:c>
      <x:c r="G595" s="8" t="str">
        <x:v>Paths / access / bridges</x:v>
      </x:c>
      <x:c r="H595" s="8" t="str">
        <x:v>KGW November 2023 report; estimate dates not supplied</x:v>
      </x:c>
      <x:c r="I595" s="8" t="str">
        <x:v>https://flo.uri.sh/visualisation/15494950/embed</x:v>
      </x:c>
    </x:row>
    <x:row r="596" ht="46" customHeight="1">
      <x:c r="A596" s="7" t="n">
        <x:v>592</x:v>
      </x:c>
      <x:c r="B596" s="12" t="str">
        <x:v>Lents Park</x:v>
      </x:c>
      <x:c r="C596" s="12" t="str">
        <x:v>Repair Green box seats</x:v>
      </x:c>
      <x:c r="D596" s="12" t="str">
        <x:v>Lents Park</x:v>
      </x:c>
      <x:c r="E596" s="12" t="str">
        <x:v>- Green box seats need to be fixed - front side sags down when seated
- Outside of PRMS scope</x:v>
      </x:c>
      <x:c r="F596" s="21" t="n">
        <x:v>11760</x:v>
      </x:c>
      <x:c r="G596" s="7" t="str">
        <x:v>Other site infrastructure</x:v>
      </x:c>
      <x:c r="H596" s="7" t="str">
        <x:v>KGW November 2023 report; estimate dates not supplied</x:v>
      </x:c>
      <x:c r="I596" s="7" t="str">
        <x:v>https://flo.uri.sh/visualisation/15494950/embed</x:v>
      </x:c>
    </x:row>
    <x:row r="597" ht="46" customHeight="1">
      <x:c r="A597" s="8" t="n">
        <x:v>593</x:v>
      </x:c>
      <x:c r="B597" s="11" t="str">
        <x:v>Lents Park</x:v>
      </x:c>
      <x:c r="C597" s="11" t="str">
        <x:v>ESPC-II_ Lents Park</x:v>
      </x:c>
      <x:c r="D597" s="11" t="str"/>
      <x:c r="E597" s="11" t="str">
        <x:v>Convert existing lighting to LED technology via a re-lamp approach.. FIM Name: 09.06-0234 Building Interior Lighting LED Conversion</x:v>
      </x:c>
      <x:c r="F597" s="20" t="n">
        <x:v>1644</x:v>
      </x:c>
      <x:c r="G597" s="8" t="str">
        <x:v>Buildings / building systems</x:v>
      </x:c>
      <x:c r="H597" s="8" t="str">
        <x:v>KGW November 2023 report; estimate dates not supplied</x:v>
      </x:c>
      <x:c r="I597" s="8" t="str">
        <x:v>https://flo.uri.sh/visualisation/15494950/embed</x:v>
      </x:c>
    </x:row>
    <x:row r="598" ht="46" customHeight="1">
      <x:c r="A598" s="7" t="n">
        <x:v>594</x:v>
      </x:c>
      <x:c r="B598" s="12" t="str">
        <x:v>Lents Park</x:v>
      </x:c>
      <x:c r="C598" s="12" t="str">
        <x:v>ESPC-II_ Lents Park</x:v>
      </x:c>
      <x:c r="D598" s="12" t="str"/>
      <x:c r="E598" s="12" t="str">
        <x:v>Convert existing lighting to LED technology via a re-lamp approach.. FIM Name: 09.07-0234 Building Exterior Lighting LED Conversion</x:v>
      </x:c>
      <x:c r="F598" s="21" t="n">
        <x:v>1589</x:v>
      </x:c>
      <x:c r="G598" s="7" t="str">
        <x:v>Buildings / building systems</x:v>
      </x:c>
      <x:c r="H598" s="7" t="str">
        <x:v>KGW November 2023 report; estimate dates not supplied</x:v>
      </x:c>
      <x:c r="I598" s="7" t="str">
        <x:v>https://flo.uri.sh/visualisation/15494950/embed</x:v>
      </x:c>
    </x:row>
    <x:row r="599" ht="46" customHeight="1">
      <x:c r="A599" s="8" t="n">
        <x:v>595</x:v>
      </x:c>
      <x:c r="B599" s="11" t="str">
        <x:v>Lents Park</x:v>
      </x:c>
      <x:c r="C599" s="11" t="str">
        <x:v>Replace tennis Court Surfaces</x:v>
      </x:c>
      <x:c r="D599" s="11" t="str">
        <x:v>Tennis courts</x:v>
      </x:c>
      <x:c r="E599" s="11" t="str">
        <x:v>Court is unplayable, designated as "keep" in Strategy. Replace the tennis courts surfacing (subgrade, pavement, court surfacing, striping) Aprox arae 13,500 sq.ft</x:v>
      </x:c>
      <x:c r="F599" s="20" t="n">
        <x:v>1157106</x:v>
      </x:c>
      <x:c r="G599" s="8" t="str">
        <x:v>Fields / courts / play</x:v>
      </x:c>
      <x:c r="H599" s="8" t="str">
        <x:v>KGW November 2023 report; estimate dates not supplied</x:v>
      </x:c>
      <x:c r="I599" s="8" t="str">
        <x:v>https://flo.uri.sh/visualisation/15494950/embed</x:v>
      </x:c>
    </x:row>
    <x:row r="600" ht="46" customHeight="1">
      <x:c r="A600" s="7" t="n">
        <x:v>596</x:v>
      </x:c>
      <x:c r="B600" s="12" t="str">
        <x:v>Lillis-Albina Park</x:v>
      </x:c>
      <x:c r="C600" s="12" t="str">
        <x:v>Playground renovation</x:v>
      </x:c>
      <x:c r="D600" s="12" t="str">
        <x:v>Play Area A</x:v>
      </x:c>
      <x:c r="E600" s="12" t="str">
        <x:v>Renovation or repair playground that was rated as 4
 during playground assessment in 2020</x:v>
      </x:c>
      <x:c r="F600" s="21" t="n">
        <x:v>95950</x:v>
      </x:c>
      <x:c r="G600" s="7" t="str">
        <x:v>Fields / courts / play</x:v>
      </x:c>
      <x:c r="H600" s="7" t="str">
        <x:v>KGW November 2023 report; estimate dates not supplied</x:v>
      </x:c>
      <x:c r="I600" s="7" t="str">
        <x:v>https://flo.uri.sh/visualisation/15494950/embed</x:v>
      </x:c>
    </x:row>
    <x:row r="601" ht="46" customHeight="1">
      <x:c r="A601" s="8" t="n">
        <x:v>597</x:v>
      </x:c>
      <x:c r="B601" s="11" t="str">
        <x:v>Lillis-Albina Park</x:v>
      </x:c>
      <x:c r="C601" s="11" t="str">
        <x:v>Pathway Renovation</x:v>
      </x:c>
      <x:c r="D601" s="11" t="str">
        <x:v>Internal Pathway/ Sidewalk</x:v>
      </x:c>
      <x:c r="E601" s="11" t="str">
        <x:v>Replace the damaged pathway, trails and sidewalks that have been rated as 4 and 5 in Pathway assessment</x:v>
      </x:c>
      <x:c r="F601" s="20" t="n">
        <x:v>56609</x:v>
      </x:c>
      <x:c r="G601" s="8" t="str">
        <x:v>Paths / access / bridges</x:v>
      </x:c>
      <x:c r="H601" s="8" t="str">
        <x:v>KGW November 2023 report; estimate dates not supplied</x:v>
      </x:c>
      <x:c r="I601" s="8" t="str">
        <x:v>https://flo.uri.sh/visualisation/15494950/embed</x:v>
      </x:c>
    </x:row>
    <x:row r="602" ht="46" customHeight="1">
      <x:c r="A602" s="7" t="n">
        <x:v>598</x:v>
      </x:c>
      <x:c r="B602" s="12" t="str">
        <x:v>Lincoln Park</x:v>
      </x:c>
      <x:c r="C602" s="12" t="str">
        <x:v>ESPC-III_Pathway Lighting to LEDs</x:v>
      </x:c>
      <x:c r="D602" s="12" t="str"/>
      <x:c r="E602" s="12" t="str">
        <x:v>Pathway Lighting Conversion to LEDs and Controls. Aprox: 20 Poles</x:v>
      </x:c>
      <x:c r="F602" s="21" t="n">
        <x:v>70563</x:v>
      </x:c>
      <x:c r="G602" s="7" t="str">
        <x:v>Paths / access / bridges</x:v>
      </x:c>
      <x:c r="H602" s="7" t="str">
        <x:v>KGW November 2023 report; estimate dates not supplied</x:v>
      </x:c>
      <x:c r="I602" s="7" t="str">
        <x:v>https://flo.uri.sh/visualisation/15494950/embed</x:v>
      </x:c>
    </x:row>
    <x:row r="603" ht="46" customHeight="1">
      <x:c r="A603" s="8" t="n">
        <x:v>599</x:v>
      </x:c>
      <x:c r="B603" s="11" t="str">
        <x:v>Lincoln Park</x:v>
      </x:c>
      <x:c r="C603" s="11" t="str">
        <x:v>Playground renovation</x:v>
      </x:c>
      <x:c r="D603" s="11" t="str">
        <x:v>Play Area A</x:v>
      </x:c>
      <x:c r="E603" s="11" t="str">
        <x:v>Renovation or repair playground that was rated as 5 during playground assessment in 2020</x:v>
      </x:c>
      <x:c r="F603" s="20" t="n">
        <x:v>240562</x:v>
      </x:c>
      <x:c r="G603" s="8" t="str">
        <x:v>Fields / courts / play</x:v>
      </x:c>
      <x:c r="H603" s="8" t="str">
        <x:v>KGW November 2023 report; estimate dates not supplied</x:v>
      </x:c>
      <x:c r="I603" s="8" t="str">
        <x:v>https://flo.uri.sh/visualisation/15494950/embed</x:v>
      </x:c>
    </x:row>
    <x:row r="604" ht="46" customHeight="1">
      <x:c r="A604" s="7" t="n">
        <x:v>600</x:v>
      </x:c>
      <x:c r="B604" s="12" t="str">
        <x:v>Lincoln Park</x:v>
      </x:c>
      <x:c r="C604" s="12" t="str">
        <x:v>Playground Renovation</x:v>
      </x:c>
      <x:c r="D604" s="12" t="str">
        <x:v>Playground</x:v>
      </x:c>
      <x:c r="E604" s="12" t="str">
        <x:v>Potentially joining Metro Bond Local Share Pathways Work.</x:v>
      </x:c>
      <x:c r="F604" s="21" t="n">
        <x:v>1020002</x:v>
      </x:c>
      <x:c r="G604" s="7" t="str">
        <x:v>Paths / access / bridges</x:v>
      </x:c>
      <x:c r="H604" s="7" t="str">
        <x:v>KGW November 2023 report; estimate dates not supplied</x:v>
      </x:c>
      <x:c r="I604" s="7" t="str">
        <x:v>https://flo.uri.sh/visualisation/15494950/embed</x:v>
      </x:c>
    </x:row>
    <x:row r="605" ht="46" customHeight="1">
      <x:c r="A605" s="8" t="n">
        <x:v>601</x:v>
      </x:c>
      <x:c r="B605" s="11" t="str">
        <x:v>Loll Wildwood Natural Area</x:v>
      </x:c>
      <x:c r="C605" s="11" t="str">
        <x:v>Ecological Restoration_ Loll Wildwood Natural Area</x:v>
      </x:c>
      <x:c r="D605" s="11" t="str"/>
      <x:c r="E605" s="11" t="str">
        <x:v>Placholder for Ecological health restoration</x:v>
      </x:c>
      <x:c r="F605" s="20" t="n">
        <x:v>147006</x:v>
      </x:c>
      <x:c r="G605" s="8" t="str">
        <x:v>Other site infrastructure</x:v>
      </x:c>
      <x:c r="H605" s="8" t="str">
        <x:v>KGW November 2023 report; estimate dates not supplied</x:v>
      </x:c>
      <x:c r="I605" s="8" t="str">
        <x:v>https://flo.uri.sh/visualisation/15494950/embed</x:v>
      </x:c>
    </x:row>
    <x:row r="606" ht="46" customHeight="1">
      <x:c r="A606" s="7" t="n">
        <x:v>602</x:v>
      </x:c>
      <x:c r="B606" s="12" t="str">
        <x:v>Lotus Isle Park</x:v>
      </x:c>
      <x:c r="C606" s="12" t="str">
        <x:v>Pathway Renovation</x:v>
      </x:c>
      <x:c r="D606" s="12" t="str">
        <x:v>Lotus Isle Park</x:v>
      </x:c>
      <x:c r="E606" s="12" t="str">
        <x:v>Replace the damaged pathway, trails and sidewalks that have been rated as 4 and 5 in Pathway assessment</x:v>
      </x:c>
      <x:c r="F606" s="21" t="n">
        <x:v>47042</x:v>
      </x:c>
      <x:c r="G606" s="7" t="str">
        <x:v>Paths / access / bridges</x:v>
      </x:c>
      <x:c r="H606" s="7" t="str">
        <x:v>KGW November 2023 report; estimate dates not supplied</x:v>
      </x:c>
      <x:c r="I606" s="7" t="str">
        <x:v>https://flo.uri.sh/visualisation/15494950/embed</x:v>
      </x:c>
    </x:row>
    <x:row r="607" ht="46" customHeight="1">
      <x:c r="A607" s="8" t="n">
        <x:v>603</x:v>
      </x:c>
      <x:c r="B607" s="11" t="str">
        <x:v>Lotus Isle Park</x:v>
      </x:c>
      <x:c r="C607" s="11" t="str">
        <x:v>Slope Stabilization</x:v>
      </x:c>
      <x:c r="D607" s="11" t="str">
        <x:v>Lotus Isle Park</x:v>
      </x:c>
      <x:c r="E607" s="11" t="str">
        <x:v>Repair slope at Lotus Isle</x:v>
      </x:c>
      <x:c r="F607" s="20" t="n">
        <x:v>17451</x:v>
      </x:c>
      <x:c r="G607" s="8" t="str">
        <x:v>Other site infrastructure</x:v>
      </x:c>
      <x:c r="H607" s="8" t="str">
        <x:v>KGW November 2023 report; estimate dates not supplied</x:v>
      </x:c>
      <x:c r="I607" s="8" t="str">
        <x:v>https://flo.uri.sh/visualisation/15494950/embed</x:v>
      </x:c>
    </x:row>
    <x:row r="608" ht="46" customHeight="1">
      <x:c r="A608" s="7" t="n">
        <x:v>604</x:v>
      </x:c>
      <x:c r="B608" s="12" t="str">
        <x:v>Lotus Isle Park</x:v>
      </x:c>
      <x:c r="C608" s="12" t="str">
        <x:v>ESPC-III_Pathway Lighting to LEDs</x:v>
      </x:c>
      <x:c r="D608" s="12" t="str"/>
      <x:c r="E608" s="12" t="str">
        <x:v>Pathway Lighting Conversion to LEDs and Controls. Aprox: 4 Poles</x:v>
      </x:c>
      <x:c r="F608" s="21" t="n">
        <x:v>14113</x:v>
      </x:c>
      <x:c r="G608" s="7" t="str">
        <x:v>Paths / access / bridges</x:v>
      </x:c>
      <x:c r="H608" s="7" t="str">
        <x:v>KGW November 2023 report; estimate dates not supplied</x:v>
      </x:c>
      <x:c r="I608" s="7" t="str">
        <x:v>https://flo.uri.sh/visualisation/15494950/embed</x:v>
      </x:c>
    </x:row>
    <x:row r="609" ht="46" customHeight="1">
      <x:c r="A609" s="8" t="n">
        <x:v>605</x:v>
      </x:c>
      <x:c r="B609" s="11" t="str">
        <x:v>Lotus Isle Park</x:v>
      </x:c>
      <x:c r="C609" s="11" t="str">
        <x:v>Replace Backflow preventer device</x:v>
      </x:c>
      <x:c r="D609" s="11" t="str">
        <x:v>Property</x:v>
      </x:c>
      <x:c r="E609" s="11" t="str">
        <x:v>- Replace out of compliance backflow preventer
- Assembly: Reduced Pressure Backflow Assembly (RPBA)
- Premises Isolation (PI): Heated Enclosure. Serial # 186549
- Move to property line, if needed
- Hazard: Heat protection</x:v>
      </x:c>
      <x:c r="F609" s="20" t="n">
        <x:v>10000</x:v>
      </x:c>
      <x:c r="G609" s="8" t="str">
        <x:v>Utilities / lighting / drainage</x:v>
      </x:c>
      <x:c r="H609" s="8" t="str">
        <x:v>KGW November 2023 report; estimate dates not supplied</x:v>
      </x:c>
      <x:c r="I609" s="8" t="str">
        <x:v>https://flo.uri.sh/visualisation/15494950/embed</x:v>
      </x:c>
    </x:row>
    <x:row r="610" ht="46" customHeight="1">
      <x:c r="A610" s="7" t="n">
        <x:v>606</x:v>
      </x:c>
      <x:c r="B610" s="12" t="str">
        <x:v>Luuwit View Park</x:v>
      </x:c>
      <x:c r="C610" s="12" t="str">
        <x:v>Renovate playground surface area</x:v>
      </x:c>
      <x:c r="D610" s="12" t="str">
        <x:v>Play equipment - Embankment slide</x:v>
      </x:c>
      <x:c r="E610" s="12" t="str">
        <x:v>A hole is starting to form in the poured in place on the slide embankment.
The mounds around large climber are wearing fast and the top surface is starting to flake away in numerous spots.</x:v>
      </x:c>
      <x:c r="F610" s="21" t="n">
        <x:v>50000</x:v>
      </x:c>
      <x:c r="G610" s="7" t="str">
        <x:v>Fields / courts / play</x:v>
      </x:c>
      <x:c r="H610" s="7" t="str">
        <x:v>KGW November 2023 report; estimate dates not supplied</x:v>
      </x:c>
      <x:c r="I610" s="7" t="str">
        <x:v>https://flo.uri.sh/visualisation/15494950/embed</x:v>
      </x:c>
    </x:row>
    <x:row r="611" ht="46" customHeight="1">
      <x:c r="A611" s="8" t="n">
        <x:v>607</x:v>
      </x:c>
      <x:c r="B611" s="11" t="str">
        <x:v>Luuwit View Park</x:v>
      </x:c>
      <x:c r="C611" s="11" t="str">
        <x:v>ESPC-III_Buildings Lighting to LEDs</x:v>
      </x:c>
      <x:c r="D611" s="11" t="str">
        <x:v>Restroom - Storage</x:v>
      </x:c>
      <x:c r="E611" s="11" t="str">
        <x:v>LED conversion for Exterior and Interior Lights</x:v>
      </x:c>
      <x:c r="F611" s="20" t="n">
        <x:v>11760</x:v>
      </x:c>
      <x:c r="G611" s="8" t="str">
        <x:v>Buildings / building systems</x:v>
      </x:c>
      <x:c r="H611" s="8" t="str">
        <x:v>KGW November 2023 report; estimate dates not supplied</x:v>
      </x:c>
      <x:c r="I611" s="8" t="str">
        <x:v>https://flo.uri.sh/visualisation/15494950/embed</x:v>
      </x:c>
    </x:row>
    <x:row r="612" ht="46" customHeight="1">
      <x:c r="A612" s="7" t="n">
        <x:v>608</x:v>
      </x:c>
      <x:c r="B612" s="12" t="str">
        <x:v>Macleay Park</x:v>
      </x:c>
      <x:c r="C612" s="12" t="str">
        <x:v>Replace Backflow preventer device</x:v>
      </x:c>
      <x:c r="D612" s="12" t="str">
        <x:v>Property</x:v>
      </x:c>
      <x:c r="E612" s="12" t="str">
        <x:v>- Replace out of compliance backflow preventer
- Assembly: Double Check Valve Assembly (DCVA)
- Premises Isolation (PI): 2" Double Check (DC)+ Vault. Serial # 11045
- Move to property line, if needed
- Hazard: Right of Way (ROW)</x:v>
      </x:c>
      <x:c r="F612" s="21" t="n">
        <x:v>10000</x:v>
      </x:c>
      <x:c r="G612" s="7" t="str">
        <x:v>Utilities / lighting / drainage</x:v>
      </x:c>
      <x:c r="H612" s="7" t="str">
        <x:v>KGW November 2023 report; estimate dates not supplied</x:v>
      </x:c>
      <x:c r="I612" s="7" t="str">
        <x:v>https://flo.uri.sh/visualisation/15494950/embed</x:v>
      </x:c>
    </x:row>
    <x:row r="613" ht="46" customHeight="1">
      <x:c r="A613" s="8" t="n">
        <x:v>609</x:v>
      </x:c>
      <x:c r="B613" s="11" t="str">
        <x:v>Madrona Park</x:v>
      </x:c>
      <x:c r="C613" s="11" t="str">
        <x:v>Playground renovation</x:v>
      </x:c>
      <x:c r="D613" s="11" t="str">
        <x:v>Play area A</x:v>
      </x:c>
      <x:c r="E613" s="11" t="str">
        <x:v>Renovate play area rated 4 or 5 in condition assessment</x:v>
      </x:c>
      <x:c r="F613" s="20" t="n">
        <x:v>95413</x:v>
      </x:c>
      <x:c r="G613" s="8" t="str">
        <x:v>Fields / courts / play</x:v>
      </x:c>
      <x:c r="H613" s="8" t="str">
        <x:v>KGW November 2023 report; estimate dates not supplied</x:v>
      </x:c>
      <x:c r="I613" s="8" t="str">
        <x:v>https://flo.uri.sh/visualisation/15494950/embed</x:v>
      </x:c>
    </x:row>
    <x:row r="614" ht="46" customHeight="1">
      <x:c r="A614" s="7" t="n">
        <x:v>610</x:v>
      </x:c>
      <x:c r="B614" s="12" t="str">
        <x:v>Madrona Park</x:v>
      </x:c>
      <x:c r="C614" s="12" t="str">
        <x:v>Park solar irrigation</x:v>
      </x:c>
      <x:c r="D614" s="12" t="str"/>
      <x:c r="E614" s="12" t="str">
        <x:v>Replace/Upgrade existing solar irrigation system</x:v>
      </x:c>
      <x:c r="F614" s="21" t="n">
        <x:v>70070</x:v>
      </x:c>
      <x:c r="G614" s="7" t="str">
        <x:v>Utilities / lighting / drainage</x:v>
      </x:c>
      <x:c r="H614" s="7" t="str">
        <x:v>KGW November 2023 report; estimate dates not supplied</x:v>
      </x:c>
      <x:c r="I614" s="7" t="str">
        <x:v>https://flo.uri.sh/visualisation/15494950/embed</x:v>
      </x:c>
    </x:row>
    <x:row r="615" ht="46" customHeight="1">
      <x:c r="A615" s="8" t="n">
        <x:v>611</x:v>
      </x:c>
      <x:c r="B615" s="11" t="str">
        <x:v>Maint Facility - 21st and Pacific</x:v>
      </x:c>
      <x:c r="C615" s="11" t="str">
        <x:v>ESPC-II_ Maint Facility - 21st and Pacific</x:v>
      </x:c>
      <x:c r="D615" s="11" t="str"/>
      <x:c r="E615" s="11" t="str">
        <x:v>Install a GE control node on each pathway light fixture.  Node for parks with &lt;50 fixtures will be model #ELWM18BXXXXAD.  Node for parks with &gt;50 fixtures will be model #ELWN08BXXXXAD.. FIM Name: 09.17-0450 Building Exterior Lighting Controls</x:v>
      </x:c>
      <x:c r="F615" s="20" t="n">
        <x:v>733</x:v>
      </x:c>
      <x:c r="G615" s="8" t="str">
        <x:v>Buildings / building systems</x:v>
      </x:c>
      <x:c r="H615" s="8" t="str">
        <x:v>KGW November 2023 report; estimate dates not supplied</x:v>
      </x:c>
      <x:c r="I615" s="8" t="str">
        <x:v>https://flo.uri.sh/visualisation/15494950/embed</x:v>
      </x:c>
    </x:row>
    <x:row r="616" ht="46" customHeight="1">
      <x:c r="A616" s="7" t="n">
        <x:v>612</x:v>
      </x:c>
      <x:c r="B616" s="12" t="str">
        <x:v>Maint Facility - 21st and Pacific</x:v>
      </x:c>
      <x:c r="C616" s="12" t="str">
        <x:v>ESPC-II_ Maint Facility - 21st and Pacific</x:v>
      </x:c>
      <x:c r="D616" s="12" t="str"/>
      <x:c r="E616" s="12" t="str">
        <x:v>Maint Facility 21st &amp; Pacific; Install 30 occupancy sensor plug load power strips throughout the facility to reduce plug load power consumption for loads that do not need to be on 24/7 such as computer monitors, TVs, scanners, paper shredders, printers, speakers, etc. All CPUs, modems, and routers to be plugged into "always on" ports in power strip to ensure connectivity for the IT department to push updates.. FIM Name: 16.02-0450 Install Plug Load Management</x:v>
      </x:c>
      <x:c r="F616" s="21" t="n">
        <x:v>6364</x:v>
      </x:c>
      <x:c r="G616" s="7" t="str">
        <x:v>Other site infrastructure</x:v>
      </x:c>
      <x:c r="H616" s="7" t="str">
        <x:v>KGW November 2023 report; estimate dates not supplied</x:v>
      </x:c>
      <x:c r="I616" s="7" t="str">
        <x:v>https://flo.uri.sh/visualisation/15494950/embed</x:v>
      </x:c>
    </x:row>
    <x:row r="617" ht="46" customHeight="1">
      <x:c r="A617" s="8" t="n">
        <x:v>613</x:v>
      </x:c>
      <x:c r="B617" s="11" t="str">
        <x:v>Maint Facility - 21st and Pacific</x:v>
      </x:c>
      <x:c r="C617" s="11" t="str">
        <x:v>ESPC-II_ Maint Facility - 21st and Pacific</x:v>
      </x:c>
      <x:c r="D617" s="11" t="str"/>
      <x:c r="E617" s="11" t="str">
        <x:v>Retrocommission all astronomical and mechanical timeclocks to ensure proper operation and correct current time.. FIM Name: 05.00-0450 Retro Commissioning Astronomical &amp; Mech Timeclocks</x:v>
      </x:c>
      <x:c r="F617" s="20" t="n">
        <x:v>545</x:v>
      </x:c>
      <x:c r="G617" s="8" t="str">
        <x:v>Utilities / lighting / drainage</x:v>
      </x:c>
      <x:c r="H617" s="8" t="str">
        <x:v>KGW November 2023 report; estimate dates not supplied</x:v>
      </x:c>
      <x:c r="I617" s="8" t="str">
        <x:v>https://flo.uri.sh/visualisation/15494950/embed</x:v>
      </x:c>
    </x:row>
    <x:row r="618" ht="46" customHeight="1">
      <x:c r="A618" s="7" t="n">
        <x:v>614</x:v>
      </x:c>
      <x:c r="B618" s="12" t="str">
        <x:v>Maint Facility - 21st and Pacific</x:v>
      </x:c>
      <x:c r="C618" s="12" t="str">
        <x:v>Building renovation</x:v>
      </x:c>
      <x:c r="D618" s="12" t="str">
        <x:v>Northeast District Headquarters</x:v>
      </x:c>
      <x:c r="E618" s="12" t="str">
        <x:v>Renovate building rated 4 or 5 in building assessment</x:v>
      </x:c>
      <x:c r="F618" s="21" t="n">
        <x:v>3428236</x:v>
      </x:c>
      <x:c r="G618" s="7" t="str">
        <x:v>Buildings / building systems</x:v>
      </x:c>
      <x:c r="H618" s="7" t="str">
        <x:v>KGW November 2023 report; estimate dates not supplied</x:v>
      </x:c>
      <x:c r="I618" s="7" t="str">
        <x:v>https://flo.uri.sh/visualisation/15494950/embed</x:v>
      </x:c>
    </x:row>
    <x:row r="619" ht="46" customHeight="1">
      <x:c r="A619" s="8" t="n">
        <x:v>615</x:v>
      </x:c>
      <x:c r="B619" s="11" t="str">
        <x:v>Maint Facility - 21st and Pacific</x:v>
      </x:c>
      <x:c r="C619" s="11" t="str">
        <x:v>ESPC-II_ Maint Facility - 21st and Pacific</x:v>
      </x:c>
      <x:c r="D619" s="11" t="str"/>
      <x:c r="E619" s="11" t="str">
        <x:v>Install a new pole and light fixture at the parking lot gate.  Existing power from the existing exterior lighting circuit.. FIM Name: 09.08-0450 Safety Item Additional Parking Lot Lighting</x:v>
      </x:c>
      <x:c r="F619" s="20" t="n">
        <x:v>18999</x:v>
      </x:c>
      <x:c r="G619" s="8" t="str">
        <x:v>Utilities / lighting / drainage</x:v>
      </x:c>
      <x:c r="H619" s="8" t="str">
        <x:v>KGW November 2023 report; estimate dates not supplied</x:v>
      </x:c>
      <x:c r="I619" s="8" t="str">
        <x:v>https://flo.uri.sh/visualisation/15494950/embed</x:v>
      </x:c>
    </x:row>
    <x:row r="620" ht="46" customHeight="1">
      <x:c r="A620" s="7" t="n">
        <x:v>616</x:v>
      </x:c>
      <x:c r="B620" s="12" t="str">
        <x:v>Maint Facility - 21st and Pacific</x:v>
      </x:c>
      <x:c r="C620" s="12" t="str">
        <x:v>ESPC-II_ Maint Facility - 21st and Pacific</x:v>
      </x:c>
      <x:c r="D620" s="12" t="str"/>
      <x:c r="E620" s="12" t="str">
        <x:v>Convert existing lighting to LED technology via a re-lamp approach.. FIM Name: 09.07-0450 Building Exterior Lighting LED Conversion</x:v>
      </x:c>
      <x:c r="F620" s="21" t="n">
        <x:v>169</x:v>
      </x:c>
      <x:c r="G620" s="7" t="str">
        <x:v>Buildings / building systems</x:v>
      </x:c>
      <x:c r="H620" s="7" t="str">
        <x:v>KGW November 2023 report; estimate dates not supplied</x:v>
      </x:c>
      <x:c r="I620" s="7" t="str">
        <x:v>https://flo.uri.sh/visualisation/15494950/embed</x:v>
      </x:c>
    </x:row>
    <x:row r="621" ht="46" customHeight="1">
      <x:c r="A621" s="8" t="n">
        <x:v>617</x:v>
      </x:c>
      <x:c r="B621" s="11" t="str">
        <x:v>Maint Facility - 21st and Pacific</x:v>
      </x:c>
      <x:c r="C621" s="11" t="str">
        <x:v>ESPC-II_ Maint Facility - 21st and Pacific</x:v>
      </x:c>
      <x:c r="D621" s="11" t="str"/>
      <x:c r="E621" s="11" t="str">
        <x:v>Convert existing lighting to LED technology via a re-lamp approach.. FIM Name: 09.06-0450 Building Interior Lighting LED Conversion</x:v>
      </x:c>
      <x:c r="F621" s="20" t="n">
        <x:v>16173</x:v>
      </x:c>
      <x:c r="G621" s="8" t="str">
        <x:v>Buildings / building systems</x:v>
      </x:c>
      <x:c r="H621" s="8" t="str">
        <x:v>KGW November 2023 report; estimate dates not supplied</x:v>
      </x:c>
      <x:c r="I621" s="8" t="str">
        <x:v>https://flo.uri.sh/visualisation/15494950/embed</x:v>
      </x:c>
    </x:row>
    <x:row r="622" ht="46" customHeight="1">
      <x:c r="A622" s="7" t="n">
        <x:v>618</x:v>
      </x:c>
      <x:c r="B622" s="12" t="str">
        <x:v>Maint Facility - 21st and Pacific</x:v>
      </x:c>
      <x:c r="C622" s="12" t="str">
        <x:v>ESPC-II_ Maint Facility - 21st and Pacific</x:v>
      </x:c>
      <x:c r="D622" s="12" t="str"/>
      <x:c r="E622" s="12" t="str">
        <x:v>Tighten schedules and setpoints to match occupancy and maintain a 5F deadband between occupied heating and cooling setpoints. . FIM Name: 04.01-0450 DDC/Control System Optimization</x:v>
      </x:c>
      <x:c r="F622" s="21" t="n">
        <x:v>1997</x:v>
      </x:c>
      <x:c r="G622" s="7" t="str">
        <x:v>Other site infrastructure</x:v>
      </x:c>
      <x:c r="H622" s="7" t="str">
        <x:v>KGW November 2023 report; estimate dates not supplied</x:v>
      </x:c>
      <x:c r="I622" s="7" t="str">
        <x:v>https://flo.uri.sh/visualisation/15494950/embed</x:v>
      </x:c>
    </x:row>
    <x:row r="623" ht="46" customHeight="1">
      <x:c r="A623" s="8" t="n">
        <x:v>619</x:v>
      </x:c>
      <x:c r="B623" s="11" t="str">
        <x:v>Maint Facility - 21st and Pacific</x:v>
      </x:c>
      <x:c r="C623" s="11" t="str">
        <x:v>Upgrade building upon workspace assessment outcome</x:v>
      </x:c>
      <x:c r="D623" s="11" t="str"/>
      <x:c r="E623" s="11" t="str"/>
      <x:c r="F623" s="20" t="n">
        <x:v>0</x:v>
      </x:c>
      <x:c r="G623" s="8" t="str">
        <x:v>Buildings / building systems</x:v>
      </x:c>
      <x:c r="H623" s="8" t="str">
        <x:v>KGW November 2023 report; estimate dates not supplied</x:v>
      </x:c>
      <x:c r="I623" s="8" t="str">
        <x:v>https://flo.uri.sh/visualisation/15494950/embed</x:v>
      </x:c>
    </x:row>
    <x:row r="624" ht="46" customHeight="1">
      <x:c r="A624" s="7" t="n">
        <x:v>620</x:v>
      </x:c>
      <x:c r="B624" s="12" t="str">
        <x:v>Maint Facility - 89th and Flavel</x:v>
      </x:c>
      <x:c r="C624" s="12" t="str">
        <x:v>Renovate parking lot_Parking Area B</x:v>
      </x:c>
      <x:c r="D624" s="12" t="str">
        <x:v>Parking Area B</x:v>
      </x:c>
      <x:c r="E624" s="12" t="str">
        <x:v>Repair parking lot that was rated 4 in condition assessment. Repair include surface, drainage and curb. approx area= 46833 sq.ft</x:v>
      </x:c>
      <x:c r="F624" s="21" t="n">
        <x:v>765717</x:v>
      </x:c>
      <x:c r="G624" s="7" t="str">
        <x:v>Utilities / lighting / drainage</x:v>
      </x:c>
      <x:c r="H624" s="7" t="str">
        <x:v>KGW November 2023 report; estimate dates not supplied</x:v>
      </x:c>
      <x:c r="I624" s="7" t="str">
        <x:v>https://flo.uri.sh/visualisation/15494950/embed</x:v>
      </x:c>
    </x:row>
    <x:row r="625" ht="46" customHeight="1">
      <x:c r="A625" s="8" t="n">
        <x:v>621</x:v>
      </x:c>
      <x:c r="B625" s="11" t="str">
        <x:v>Maint Facility - 89th and Flavel</x:v>
      </x:c>
      <x:c r="C625" s="11" t="str">
        <x:v>Renovate the Roof of Storage building</x:v>
      </x:c>
      <x:c r="D625" s="11" t="str">
        <x:v>Storage Garage</x:v>
      </x:c>
      <x:c r="E625" s="11" t="str">
        <x:v>Fix or replace the Roof that is rated 4 through buildings' assessment</x:v>
      </x:c>
      <x:c r="F625" s="20" t="n">
        <x:v>575800</x:v>
      </x:c>
      <x:c r="G625" s="8" t="str">
        <x:v>Buildings / building systems</x:v>
      </x:c>
      <x:c r="H625" s="8" t="str">
        <x:v>KGW November 2023 report; estimate dates not supplied</x:v>
      </x:c>
      <x:c r="I625" s="8" t="str">
        <x:v>https://flo.uri.sh/visualisation/15494950/embed</x:v>
      </x:c>
    </x:row>
    <x:row r="626" ht="46" customHeight="1">
      <x:c r="A626" s="7" t="n">
        <x:v>622</x:v>
      </x:c>
      <x:c r="B626" s="12" t="str">
        <x:v>Maint Facility - 89th and Flavel</x:v>
      </x:c>
      <x:c r="C626" s="12" t="str">
        <x:v>ESPC-II_ Maint Facility - 89th and Flavel</x:v>
      </x:c>
      <x:c r="D626" s="12" t="str"/>
      <x:c r="E626" s="12" t="str">
        <x:v>Retrocommission all astronomical and mechanical timeclocks to ensure proper operation and correct current time.. FIM Name: 05.00-1388 Retro Commissioning Astronomical &amp; Mech Timeclocks</x:v>
      </x:c>
      <x:c r="F626" s="21" t="n">
        <x:v>545</x:v>
      </x:c>
      <x:c r="G626" s="7" t="str">
        <x:v>Utilities / lighting / drainage</x:v>
      </x:c>
      <x:c r="H626" s="7" t="str">
        <x:v>KGW November 2023 report; estimate dates not supplied</x:v>
      </x:c>
      <x:c r="I626" s="7" t="str">
        <x:v>https://flo.uri.sh/visualisation/15494950/embed</x:v>
      </x:c>
    </x:row>
    <x:row r="627" ht="46" customHeight="1">
      <x:c r="A627" s="8" t="n">
        <x:v>623</x:v>
      </x:c>
      <x:c r="B627" s="11" t="str">
        <x:v>Maint Facility - 89th and Flavel</x:v>
      </x:c>
      <x:c r="C627" s="11" t="str">
        <x:v>ESPC-II_ Maint Facility - 89th and Flavel</x:v>
      </x:c>
      <x:c r="D627" s="11" t="str"/>
      <x:c r="E627" s="11" t="str">
        <x:v>Install a GE control node on each pathway light fixture.  Node for parks with &lt;50 fixtures will be model #ELWM18BXXXXAD.  Node for parks with &gt;50 fixtures will be model #ELWN08BXXXXAD.. FIM Name: 09.17-1388 Building Exterior Lighting Controls</x:v>
      </x:c>
      <x:c r="F627" s="20" t="n">
        <x:v>5859</x:v>
      </x:c>
      <x:c r="G627" s="8" t="str">
        <x:v>Buildings / building systems</x:v>
      </x:c>
      <x:c r="H627" s="8" t="str">
        <x:v>KGW November 2023 report; estimate dates not supplied</x:v>
      </x:c>
      <x:c r="I627" s="8" t="str">
        <x:v>https://flo.uri.sh/visualisation/15494950/embed</x:v>
      </x:c>
    </x:row>
    <x:row r="628" ht="46" customHeight="1">
      <x:c r="A628" s="7" t="n">
        <x:v>624</x:v>
      </x:c>
      <x:c r="B628" s="12" t="str">
        <x:v>Maint Facility - 89th and Flavel</x:v>
      </x:c>
      <x:c r="C628" s="12" t="str">
        <x:v>ESPC-II_ Maint Facility - 89th and Flavel</x:v>
      </x:c>
      <x:c r="D628" s="12" t="str"/>
      <x:c r="E628" s="12" t="str">
        <x:v>Tighten schedules and setpoints to match occupancy and maintain a 5F deadband between occupied heating and cooling setpoints.. FIM Name: 04.01-1388 DDC/Control System Optimization</x:v>
      </x:c>
      <x:c r="F628" s="21" t="n">
        <x:v>2970</x:v>
      </x:c>
      <x:c r="G628" s="7" t="str">
        <x:v>Other site infrastructure</x:v>
      </x:c>
      <x:c r="H628" s="7" t="str">
        <x:v>KGW November 2023 report; estimate dates not supplied</x:v>
      </x:c>
      <x:c r="I628" s="7" t="str">
        <x:v>https://flo.uri.sh/visualisation/15494950/embed</x:v>
      </x:c>
    </x:row>
    <x:row r="629" ht="46" customHeight="1">
      <x:c r="A629" s="8" t="n">
        <x:v>625</x:v>
      </x:c>
      <x:c r="B629" s="11" t="str">
        <x:v>Maint Facility - 89th and Flavel</x:v>
      </x:c>
      <x:c r="C629" s="11" t="str">
        <x:v>ESPC-II_ Maint Facility - 89th and Flavel</x:v>
      </x:c>
      <x:c r="D629" s="11" t="str"/>
      <x:c r="E629" s="11" t="str">
        <x:v>Convert existing lighting to LED technology via a re-lamp approach.. FIM Name: 09.06-1388 Building Interior Lighting LED Conversion</x:v>
      </x:c>
      <x:c r="F629" s="20" t="n">
        <x:v>16499</x:v>
      </x:c>
      <x:c r="G629" s="8" t="str">
        <x:v>Buildings / building systems</x:v>
      </x:c>
      <x:c r="H629" s="8" t="str">
        <x:v>KGW November 2023 report; estimate dates not supplied</x:v>
      </x:c>
      <x:c r="I629" s="8" t="str">
        <x:v>https://flo.uri.sh/visualisation/15494950/embed</x:v>
      </x:c>
    </x:row>
    <x:row r="630" ht="46" customHeight="1">
      <x:c r="A630" s="7" t="n">
        <x:v>626</x:v>
      </x:c>
      <x:c r="B630" s="12" t="str">
        <x:v>Maint Facility - 89th and Flavel</x:v>
      </x:c>
      <x:c r="C630" s="12" t="str">
        <x:v>Replace Backflow preventer device</x:v>
      </x:c>
      <x:c r="D630" s="12" t="str">
        <x:v>Property</x:v>
      </x:c>
      <x:c r="E630" s="12" t="str">
        <x:v>- Replace out of compliance backflow preventer
- Assembly: Double Check Valve Assembly (DCVA)
- Premises Isolation (PI): 1" Reduced Pressure+ Enclosure. Serial # 429837
- Move to property line, if needed
- Hazard: Flood Plain</x:v>
      </x:c>
      <x:c r="F630" s="21" t="n">
        <x:v>10000</x:v>
      </x:c>
      <x:c r="G630" s="7" t="str">
        <x:v>Utilities / lighting / drainage</x:v>
      </x:c>
      <x:c r="H630" s="7" t="str">
        <x:v>KGW November 2023 report; estimate dates not supplied</x:v>
      </x:c>
      <x:c r="I630" s="7" t="str">
        <x:v>https://flo.uri.sh/visualisation/15494950/embed</x:v>
      </x:c>
    </x:row>
    <x:row r="631" ht="46" customHeight="1">
      <x:c r="A631" s="8" t="n">
        <x:v>627</x:v>
      </x:c>
      <x:c r="B631" s="11" t="str">
        <x:v>Maint Facility - 89th and Flavel</x:v>
      </x:c>
      <x:c r="C631" s="11" t="str">
        <x:v>ESPC-II_ Maint Facility - 89th and Flavel</x:v>
      </x:c>
      <x:c r="D631" s="11" t="str"/>
      <x:c r="E631" s="11" t="str">
        <x:v>Convert existing lighting to LED technology via a re-lamp approach.. FIM Name: 09.07-1388 Building Exterior Lighting LED Conversion</x:v>
      </x:c>
      <x:c r="F631" s="20" t="n">
        <x:v>1940</x:v>
      </x:c>
      <x:c r="G631" s="8" t="str">
        <x:v>Buildings / building systems</x:v>
      </x:c>
      <x:c r="H631" s="8" t="str">
        <x:v>KGW November 2023 report; estimate dates not supplied</x:v>
      </x:c>
      <x:c r="I631" s="8" t="str">
        <x:v>https://flo.uri.sh/visualisation/15494950/embed</x:v>
      </x:c>
    </x:row>
    <x:row r="632" ht="46" customHeight="1">
      <x:c r="A632" s="7" t="n">
        <x:v>628</x:v>
      </x:c>
      <x:c r="B632" s="12" t="str">
        <x:v>Maint Facility - 89th and Flavel</x:v>
      </x:c>
      <x:c r="C632" s="12" t="str">
        <x:v>Upgrade building upon workspace assessment outcome</x:v>
      </x:c>
      <x:c r="D632" s="12" t="str"/>
      <x:c r="E632" s="12" t="str"/>
      <x:c r="F632" s="21" t="n">
        <x:v>0</x:v>
      </x:c>
      <x:c r="G632" s="7" t="str">
        <x:v>Buildings / building systems</x:v>
      </x:c>
      <x:c r="H632" s="7" t="str">
        <x:v>KGW November 2023 report; estimate dates not supplied</x:v>
      </x:c>
      <x:c r="I632" s="7" t="str">
        <x:v>https://flo.uri.sh/visualisation/15494950/embed</x:v>
      </x:c>
    </x:row>
    <x:row r="633" ht="46" customHeight="1">
      <x:c r="A633" s="8" t="n">
        <x:v>629</x:v>
      </x:c>
      <x:c r="B633" s="11" t="str">
        <x:v>Maint Facility - Mt Tabor Yard</x:v>
      </x:c>
      <x:c r="C633" s="11" t="str">
        <x:v>Renovate the Roof of Maintenance building</x:v>
      </x:c>
      <x:c r="D633" s="11" t="str">
        <x:v>Equipment Office</x:v>
      </x:c>
      <x:c r="E633" s="11" t="str">
        <x:v>Fix or replace the Roof that is rated 4 through buildings' assessment</x:v>
      </x:c>
      <x:c r="F633" s="20" t="n">
        <x:v>803079</x:v>
      </x:c>
      <x:c r="G633" s="8" t="str">
        <x:v>Buildings / building systems</x:v>
      </x:c>
      <x:c r="H633" s="8" t="str">
        <x:v>KGW November 2023 report; estimate dates not supplied</x:v>
      </x:c>
      <x:c r="I633" s="8" t="str">
        <x:v>https://flo.uri.sh/visualisation/15494950/embed</x:v>
      </x:c>
    </x:row>
    <x:row r="634" ht="46" customHeight="1">
      <x:c r="A634" s="7" t="n">
        <x:v>630</x:v>
      </x:c>
      <x:c r="B634" s="12" t="str">
        <x:v>Maint Facility - Mt Tabor Yard</x:v>
      </x:c>
      <x:c r="C634" s="12" t="str">
        <x:v>Seismic improvement</x:v>
      </x:c>
      <x:c r="D634" s="12" t="str">
        <x:v>Maint Facility - Mt Tabor Yard</x:v>
      </x:c>
      <x:c r="E634" s="12" t="str">
        <x:v>Install a seismic gas shut-off valve in Warehouse, Office and Storage</x:v>
      </x:c>
      <x:c r="F634" s="21" t="n">
        <x:v>359799</x:v>
      </x:c>
      <x:c r="G634" s="7" t="str">
        <x:v>Buildings / building systems</x:v>
      </x:c>
      <x:c r="H634" s="7" t="str">
        <x:v>KGW November 2023 report; estimate dates not supplied</x:v>
      </x:c>
      <x:c r="I634" s="7" t="str">
        <x:v>https://flo.uri.sh/visualisation/15494950/embed</x:v>
      </x:c>
    </x:row>
    <x:row r="635" ht="46" customHeight="1">
      <x:c r="A635" s="8" t="n">
        <x:v>631</x:v>
      </x:c>
      <x:c r="B635" s="11" t="str">
        <x:v>Maint Facility - Mt Tabor Yard</x:v>
      </x:c>
      <x:c r="C635" s="11" t="str">
        <x:v>Access control and security, Division street</x:v>
      </x:c>
      <x:c r="D635" s="11" t="str">
        <x:v>Mt Tabor Yard Operations Offices/Stores</x:v>
      </x:c>
      <x:c r="E635" s="11" t="str">
        <x:v>Install a new gate at the Division st. exit with auto capacity and multi-user door. This is a security measure and can be combined with the new building sign and building numbers.</x:v>
      </x:c>
      <x:c r="F635" s="20" t="n">
        <x:v>32382</x:v>
      </x:c>
      <x:c r="G635" s="8" t="str">
        <x:v>Buildings / building systems</x:v>
      </x:c>
      <x:c r="H635" s="8" t="str">
        <x:v>KGW November 2023 report; estimate dates not supplied</x:v>
      </x:c>
      <x:c r="I635" s="8" t="str">
        <x:v>https://flo.uri.sh/visualisation/15494950/embed</x:v>
      </x:c>
    </x:row>
    <x:row r="636" ht="46" customHeight="1">
      <x:c r="A636" s="7" t="n">
        <x:v>632</x:v>
      </x:c>
      <x:c r="B636" s="12" t="str">
        <x:v>Maint Facility - Mt Tabor Yard</x:v>
      </x:c>
      <x:c r="C636" s="12" t="str">
        <x:v>Purchase Hort Services Cooler for Bare Root Plant</x:v>
      </x:c>
      <x:c r="D636" s="12" t="str">
        <x:v>Maint Facility - Mt Tabor Yard</x:v>
      </x:c>
      <x:c r="E636" s="12" t="str">
        <x:v>Bare root plants are less expensive to ship and handle.  CN is planting many bare root plants.  They need to be held in coolers.  At a rental cost of $1,500 / month to rent a cooler, for more than a year it would be more economical to purchase a cooler.</x:v>
      </x:c>
      <x:c r="F636" s="21" t="n">
        <x:v>30461</x:v>
      </x:c>
      <x:c r="G636" s="7" t="str">
        <x:v>Other site infrastructure</x:v>
      </x:c>
      <x:c r="H636" s="7" t="str">
        <x:v>KGW November 2023 report; estimate dates not supplied</x:v>
      </x:c>
      <x:c r="I636" s="7" t="str">
        <x:v>https://flo.uri.sh/visualisation/15494950/embed</x:v>
      </x:c>
    </x:row>
    <x:row r="637" ht="46" customHeight="1">
      <x:c r="A637" s="8" t="n">
        <x:v>633</x:v>
      </x:c>
      <x:c r="B637" s="11" t="str">
        <x:v>Maint Facility - Mt Tabor Yard</x:v>
      </x:c>
      <x:c r="C637" s="11" t="str">
        <x:v>Workspace- Reconfiguration and Furnishing</x:v>
      </x:c>
      <x:c r="D637" s="11" t="str">
        <x:v>Aquatics Trailer, ID-683</x:v>
      </x:c>
      <x:c r="E637" s="11" t="str">
        <x:v>Project components:
Improvement Type: Building, Category: Interior, Subcategory: Furnishings, Description: Provide 1 additional desk, Invest#: 683.01
Improvement Type: Building, Category: Interior, Subcategory: Furnishings, Description: Provide 1 additional workstation, Invest#: 683.02
Improvement Type: Building, Category: Interior, Subcategory: Furnishings, Description: Provide 3 additional lockers, Invest#: 683.03</x:v>
      </x:c>
      <x:c r="F637" s="20" t="n">
        <x:v>30000</x:v>
      </x:c>
      <x:c r="G637" s="8" t="str">
        <x:v>Pools / aquatics</x:v>
      </x:c>
      <x:c r="H637" s="8" t="str">
        <x:v>KGW November 2023 report; estimate dates not supplied</x:v>
      </x:c>
      <x:c r="I637" s="8" t="str">
        <x:v>https://flo.uri.sh/visualisation/15494950/embed</x:v>
      </x:c>
    </x:row>
    <x:row r="638" ht="46" customHeight="1">
      <x:c r="A638" s="7" t="n">
        <x:v>634</x:v>
      </x:c>
      <x:c r="B638" s="12" t="str">
        <x:v>Maint Facility - Mt Tabor Yard</x:v>
      </x:c>
      <x:c r="C638" s="12" t="str">
        <x:v>Workspace- Reconfiguration and Furnishing</x:v>
      </x:c>
      <x:c r="D638" s="12" t="str">
        <x:v>Structures-Elec-Paint, ID-227</x:v>
      </x:c>
      <x:c r="E638" s="12" t="str">
        <x:v>Improvement Type: Building, Category: Interior, Subcategory: Furnishings, Description: Add lockers (5), Invest#: 227.03
Improvement Type: Building, Category: Interior, Subcategory: Furnishings, Description: Add two workstations, Invest#: 227.08</x:v>
      </x:c>
      <x:c r="F638" s="21" t="n">
        <x:v>20000</x:v>
      </x:c>
      <x:c r="G638" s="7" t="str">
        <x:v>Buildings / building systems</x:v>
      </x:c>
      <x:c r="H638" s="7" t="str">
        <x:v>KGW November 2023 report; estimate dates not supplied</x:v>
      </x:c>
      <x:c r="I638" s="7" t="str">
        <x:v>https://flo.uri.sh/visualisation/15494950/embed</x:v>
      </x:c>
    </x:row>
    <x:row r="639" ht="46" customHeight="1">
      <x:c r="A639" s="8" t="n">
        <x:v>635</x:v>
      </x:c>
      <x:c r="B639" s="11" t="str">
        <x:v>Maint Facility - Mt Tabor Yard</x:v>
      </x:c>
      <x:c r="C639" s="11" t="str">
        <x:v>Renovate parking lot_Parking Area A</x:v>
      </x:c>
      <x:c r="D639" s="11" t="str">
        <x:v>Parking Area A</x:v>
      </x:c>
      <x:c r="E639" s="11" t="str">
        <x:v>Repair parking lot that was rated 5 in condition assessment. Repair include surface, drainage and curb. approx area= 93229 sq.ft</x:v>
      </x:c>
      <x:c r="F639" s="20" t="n">
        <x:v>2541548</x:v>
      </x:c>
      <x:c r="G639" s="8" t="str">
        <x:v>Utilities / lighting / drainage</x:v>
      </x:c>
      <x:c r="H639" s="8" t="str">
        <x:v>KGW November 2023 report; estimate dates not supplied</x:v>
      </x:c>
      <x:c r="I639" s="8" t="str">
        <x:v>https://flo.uri.sh/visualisation/15494950/embed</x:v>
      </x:c>
    </x:row>
    <x:row r="640" ht="46" customHeight="1">
      <x:c r="A640" s="7" t="n">
        <x:v>636</x:v>
      </x:c>
      <x:c r="B640" s="12" t="str">
        <x:v>Maint Facility - Mt Tabor Yard</x:v>
      </x:c>
      <x:c r="C640" s="12" t="str">
        <x:v>Renovate the Roof of Administration - Maintenance building</x:v>
      </x:c>
      <x:c r="D640" s="12" t="str">
        <x:v>Operations Offices/Stores</x:v>
      </x:c>
      <x:c r="E640" s="12" t="str">
        <x:v>Fix or replace the Roof that is rated 4 through buildings' assessment</x:v>
      </x:c>
      <x:c r="F640" s="21" t="n">
        <x:v>2291547</x:v>
      </x:c>
      <x:c r="G640" s="7" t="str">
        <x:v>Buildings / building systems</x:v>
      </x:c>
      <x:c r="H640" s="7" t="str">
        <x:v>KGW November 2023 report; estimate dates not supplied</x:v>
      </x:c>
      <x:c r="I640" s="7" t="str">
        <x:v>https://flo.uri.sh/visualisation/15494950/embed</x:v>
      </x:c>
    </x:row>
    <x:row r="641" ht="46" customHeight="1">
      <x:c r="A641" s="8" t="n">
        <x:v>637</x:v>
      </x:c>
      <x:c r="B641" s="11" t="str">
        <x:v>Maint Facility - Mt Tabor Yard</x:v>
      </x:c>
      <x:c r="C641" s="11" t="str">
        <x:v>Pathway Renovation</x:v>
      </x:c>
      <x:c r="D641" s="11" t="str">
        <x:v>Internal Pathway/ Sidewalk</x:v>
      </x:c>
      <x:c r="E641" s="11" t="str">
        <x:v>Replace the damaged pathway, trails and sidewalks that have been rated as 4 and 5 in Pathway assessment</x:v>
      </x:c>
      <x:c r="F641" s="20" t="n">
        <x:v>19412</x:v>
      </x:c>
      <x:c r="G641" s="8" t="str">
        <x:v>Paths / access / bridges</x:v>
      </x:c>
      <x:c r="H641" s="8" t="str">
        <x:v>KGW November 2023 report; estimate dates not supplied</x:v>
      </x:c>
      <x:c r="I641" s="8" t="str">
        <x:v>https://flo.uri.sh/visualisation/15494950/embed</x:v>
      </x:c>
    </x:row>
    <x:row r="642" ht="46" customHeight="1">
      <x:c r="A642" s="7" t="n">
        <x:v>638</x:v>
      </x:c>
      <x:c r="B642" s="12" t="str">
        <x:v>Maint Facility - Mt Tabor Yard</x:v>
      </x:c>
      <x:c r="C642" s="12" t="str">
        <x:v>Renovate the Structure of Administration building</x:v>
      </x:c>
      <x:c r="D642" s="12" t="str">
        <x:v>Hort Svcs Offices</x:v>
      </x:c>
      <x:c r="E642" s="12" t="str">
        <x:v>Fix or replace the Structure that is rated 4 through buildings' assessment</x:v>
      </x:c>
      <x:c r="F642" s="21" t="n">
        <x:v>187066</x:v>
      </x:c>
      <x:c r="G642" s="7" t="str">
        <x:v>Buildings / building systems</x:v>
      </x:c>
      <x:c r="H642" s="7" t="str">
        <x:v>KGW November 2023 report; estimate dates not supplied</x:v>
      </x:c>
      <x:c r="I642" s="7" t="str">
        <x:v>https://flo.uri.sh/visualisation/15494950/embed</x:v>
      </x:c>
    </x:row>
    <x:row r="643" ht="46" customHeight="1">
      <x:c r="A643" s="8" t="n">
        <x:v>639</x:v>
      </x:c>
      <x:c r="B643" s="11" t="str">
        <x:v>Maint Facility - Mt Tabor Yard</x:v>
      </x:c>
      <x:c r="C643" s="11" t="str">
        <x:v>ESPC-III_Buildings Lighting to LEDs</x:v>
      </x:c>
      <x:c r="D643" s="11" t="str">
        <x:v>Storage</x:v>
      </x:c>
      <x:c r="E643" s="11" t="str">
        <x:v>LED conversion for Exterior and Interior Lights</x:v>
      </x:c>
      <x:c r="F643" s="20" t="n">
        <x:v>11760</x:v>
      </x:c>
      <x:c r="G643" s="8" t="str">
        <x:v>Buildings / building systems</x:v>
      </x:c>
      <x:c r="H643" s="8" t="str">
        <x:v>KGW November 2023 report; estimate dates not supplied</x:v>
      </x:c>
      <x:c r="I643" s="8" t="str">
        <x:v>https://flo.uri.sh/visualisation/15494950/embed</x:v>
      </x:c>
    </x:row>
    <x:row r="644" ht="46" customHeight="1">
      <x:c r="A644" s="7" t="n">
        <x:v>640</x:v>
      </x:c>
      <x:c r="B644" s="12" t="str">
        <x:v>Maint Facility - Mt Tabor Yard</x:v>
      </x:c>
      <x:c r="C644" s="12" t="str">
        <x:v>Workspace- Reconfiguration and Furnishing</x:v>
      </x:c>
      <x:c r="D644" s="12" t="str">
        <x:v>Community Garden/Mechanical, ID-228</x:v>
      </x:c>
      <x:c r="E644" s="12" t="str">
        <x:v>Improvement Type: Building, Category: Interior, Subcategory: Furnishings, Description: Office floor needs to be leveled, Invest#: 228.04</x:v>
      </x:c>
      <x:c r="F644" s="21" t="n">
        <x:v>10000</x:v>
      </x:c>
      <x:c r="G644" s="7" t="str">
        <x:v>Buildings / building systems</x:v>
      </x:c>
      <x:c r="H644" s="7" t="str">
        <x:v>KGW November 2023 report; estimate dates not supplied</x:v>
      </x:c>
      <x:c r="I644" s="7" t="str">
        <x:v>https://flo.uri.sh/visualisation/15494950/embed</x:v>
      </x:c>
    </x:row>
    <x:row r="645" ht="46" customHeight="1">
      <x:c r="A645" s="8" t="n">
        <x:v>641</x:v>
      </x:c>
      <x:c r="B645" s="11" t="str">
        <x:v>Maint Facility - Mt Tabor Yard</x:v>
      </x:c>
      <x:c r="C645" s="11" t="str">
        <x:v>Workspace- Reconfiguration and Furnishing</x:v>
      </x:c>
      <x:c r="D645" s="11" t="str">
        <x:v>Welding Shop, ID-564</x:v>
      </x:c>
      <x:c r="E645" s="11" t="str">
        <x:v>Improvement Type: Building, Category: Interior, Subcategory: Furnishings, Description: Reconfigure Office/ locker Area, Invest#: 564.03</x:v>
      </x:c>
      <x:c r="F645" s="20" t="n">
        <x:v>10000</x:v>
      </x:c>
      <x:c r="G645" s="8" t="str">
        <x:v>Buildings / building systems</x:v>
      </x:c>
      <x:c r="H645" s="8" t="str">
        <x:v>KGW November 2023 report; estimate dates not supplied</x:v>
      </x:c>
      <x:c r="I645" s="8" t="str">
        <x:v>https://flo.uri.sh/visualisation/15494950/embed</x:v>
      </x:c>
    </x:row>
    <x:row r="646" ht="46" customHeight="1">
      <x:c r="A646" s="7" t="n">
        <x:v>642</x:v>
      </x:c>
      <x:c r="B646" s="12" t="str">
        <x:v>Maint Facility - Mt Tabor Yard</x:v>
      </x:c>
      <x:c r="C646" s="12" t="str">
        <x:v>Renovate the Roof of Maintenance building</x:v>
      </x:c>
      <x:c r="D646" s="12" t="str">
        <x:v>Carpenter Shop And Office</x:v>
      </x:c>
      <x:c r="E646" s="12" t="str">
        <x:v>Fix or replace the Roof that is rated 4 through buildings' assessment</x:v>
      </x:c>
      <x:c r="F646" s="21" t="n">
        <x:v>1658665</x:v>
      </x:c>
      <x:c r="G646" s="7" t="str">
        <x:v>Buildings / building systems</x:v>
      </x:c>
      <x:c r="H646" s="7" t="str">
        <x:v>KGW November 2023 report; estimate dates not supplied</x:v>
      </x:c>
      <x:c r="I646" s="7" t="str">
        <x:v>https://flo.uri.sh/visualisation/15494950/embed</x:v>
      </x:c>
    </x:row>
    <x:row r="647" ht="46" customHeight="1">
      <x:c r="A647" s="8" t="n">
        <x:v>643</x:v>
      </x:c>
      <x:c r="B647" s="11" t="str">
        <x:v>Maint Facility - Mt Tabor Yard</x:v>
      </x:c>
      <x:c r="C647" s="11" t="str">
        <x:v>Renovate parking lot_Parking Area D</x:v>
      </x:c>
      <x:c r="D647" s="11" t="str">
        <x:v>Parking Area D</x:v>
      </x:c>
      <x:c r="E647" s="11" t="str">
        <x:v>Repair parking lot that was rated 4 in condition assessment. Repair include surface, drainage and curb. approx area= 69065 sq.ft</x:v>
      </x:c>
      <x:c r="F647" s="20" t="n">
        <x:v>1129201</x:v>
      </x:c>
      <x:c r="G647" s="8" t="str">
        <x:v>Utilities / lighting / drainage</x:v>
      </x:c>
      <x:c r="H647" s="8" t="str">
        <x:v>KGW November 2023 report; estimate dates not supplied</x:v>
      </x:c>
      <x:c r="I647" s="8" t="str">
        <x:v>https://flo.uri.sh/visualisation/15494950/embed</x:v>
      </x:c>
    </x:row>
    <x:row r="648" ht="46" customHeight="1">
      <x:c r="A648" s="7" t="n">
        <x:v>644</x:v>
      </x:c>
      <x:c r="B648" s="12" t="str">
        <x:v>Maint Facility - Mt Tabor Yard</x:v>
      </x:c>
      <x:c r="C648" s="12" t="str">
        <x:v>Renovate the Structure of Storage building</x:v>
      </x:c>
      <x:c r="D648" s="12" t="str">
        <x:v>NE Equipment Shed</x:v>
      </x:c>
      <x:c r="E648" s="12" t="str">
        <x:v>Fix or replace the Structure that is rated 4 through buildings' assessment</x:v>
      </x:c>
      <x:c r="F648" s="21" t="n">
        <x:v>1068460</x:v>
      </x:c>
      <x:c r="G648" s="7" t="str">
        <x:v>Buildings / building systems</x:v>
      </x:c>
      <x:c r="H648" s="7" t="str">
        <x:v>KGW November 2023 report; estimate dates not supplied</x:v>
      </x:c>
      <x:c r="I648" s="7" t="str">
        <x:v>https://flo.uri.sh/visualisation/15494950/embed</x:v>
      </x:c>
    </x:row>
    <x:row r="649" ht="46" customHeight="1">
      <x:c r="A649" s="8" t="n">
        <x:v>645</x:v>
      </x:c>
      <x:c r="B649" s="11" t="str">
        <x:v>Maint Facility - SE 136th and Reedway - Southeast</x:v>
      </x:c>
      <x:c r="C649" s="11" t="str">
        <x:v>Building Renovation</x:v>
      </x:c>
      <x:c r="D649" s="11" t="str">
        <x:v>Southeast District Headquarters</x:v>
      </x:c>
      <x:c r="E649" s="11" t="str">
        <x:v>Renovate buildings rated 4 or 5 in condition assessment</x:v>
      </x:c>
      <x:c r="F649" s="20" t="n">
        <x:v>739490</x:v>
      </x:c>
      <x:c r="G649" s="8" t="str">
        <x:v>Buildings / building systems</x:v>
      </x:c>
      <x:c r="H649" s="8" t="str">
        <x:v>KGW November 2023 report; estimate dates not supplied</x:v>
      </x:c>
      <x:c r="I649" s="8" t="str">
        <x:v>https://flo.uri.sh/visualisation/15494950/embed</x:v>
      </x:c>
    </x:row>
    <x:row r="650" ht="46" customHeight="1">
      <x:c r="A650" s="7" t="n">
        <x:v>646</x:v>
      </x:c>
      <x:c r="B650" s="12" t="str">
        <x:v>Maint Facility - SE 136th and Reedway - Southeast</x:v>
      </x:c>
      <x:c r="C650" s="12" t="str">
        <x:v>ESPC-II_ Maint Facility - SE 136th and Holgate</x:v>
      </x:c>
      <x:c r="D650" s="12" t="str"/>
      <x:c r="E650" s="12" t="str">
        <x:v>Add R-38 fiberglass batt insulation to underside of roof deck in shop area.. FIM Name: 13.02-0675 Add Roof Insulation</x:v>
      </x:c>
      <x:c r="F650" s="21" t="n">
        <x:v>6186</x:v>
      </x:c>
      <x:c r="G650" s="7" t="str">
        <x:v>Buildings / building systems</x:v>
      </x:c>
      <x:c r="H650" s="7" t="str">
        <x:v>KGW November 2023 report; estimate dates not supplied</x:v>
      </x:c>
      <x:c r="I650" s="7" t="str">
        <x:v>https://flo.uri.sh/visualisation/15494950/embed</x:v>
      </x:c>
    </x:row>
    <x:row r="651" ht="46" customHeight="1">
      <x:c r="A651" s="8" t="n">
        <x:v>647</x:v>
      </x:c>
      <x:c r="B651" s="11" t="str">
        <x:v>Maint Facility - SE 136th and Reedway - Southeast</x:v>
      </x:c>
      <x:c r="C651" s="11" t="str">
        <x:v>Renovate electrical and mechanical equipment</x:v>
      </x:c>
      <x:c r="D651" s="11" t="str"/>
      <x:c r="E651" s="11" t="str">
        <x:v>Electrical and mechanical equipment’s passed 25 year of service and need to replace.</x:v>
      </x:c>
      <x:c r="F651" s="20" t="n">
        <x:v>50000</x:v>
      </x:c>
      <x:c r="G651" s="8" t="str">
        <x:v>Utilities / lighting / drainage</x:v>
      </x:c>
      <x:c r="H651" s="8" t="str">
        <x:v>KGW November 2023 report; estimate dates not supplied</x:v>
      </x:c>
      <x:c r="I651" s="8" t="str">
        <x:v>https://flo.uri.sh/visualisation/15494950/embed</x:v>
      </x:c>
    </x:row>
    <x:row r="652" ht="46" customHeight="1">
      <x:c r="A652" s="7" t="n">
        <x:v>648</x:v>
      </x:c>
      <x:c r="B652" s="12" t="str">
        <x:v>Maint Facility - SE 136th and Reedway - Southeast</x:v>
      </x:c>
      <x:c r="C652" s="12" t="str">
        <x:v>ESPC-II_ Maint Facility - SE 136th and Holgate</x:v>
      </x:c>
      <x:c r="D652" s="12" t="str"/>
      <x:c r="E652" s="12" t="str">
        <x:v>Convert existing lighting to LED technology via a re-lamp approach.. FIM Name: 09.06-0675 Building Interior Lighting LED Conversion</x:v>
      </x:c>
      <x:c r="F652" s="21" t="n">
        <x:v>5098</x:v>
      </x:c>
      <x:c r="G652" s="7" t="str">
        <x:v>Buildings / building systems</x:v>
      </x:c>
      <x:c r="H652" s="7" t="str">
        <x:v>KGW November 2023 report; estimate dates not supplied</x:v>
      </x:c>
      <x:c r="I652" s="7" t="str">
        <x:v>https://flo.uri.sh/visualisation/15494950/embed</x:v>
      </x:c>
    </x:row>
    <x:row r="653" ht="46" customHeight="1">
      <x:c r="A653" s="8" t="n">
        <x:v>649</x:v>
      </x:c>
      <x:c r="B653" s="11" t="str">
        <x:v>Maint Facility - SE 136th and Reedway - Southeast</x:v>
      </x:c>
      <x:c r="C653" s="11" t="str">
        <x:v>ESPC-II_ Maint Facility - SE 136th and Holgate</x:v>
      </x:c>
      <x:c r="D653" s="11" t="str"/>
      <x:c r="E653" s="11" t="str">
        <x:v>Move the existing CCTV/security station cabinet on E wall of the building into the maintenance supervisor’s office. Cabinet to be mounted so that the top of the cabinet is at the same height as the supervisor’s desk. Propose relocating to the left of the window on the southern wall of the supervisor’s office.. FIM Name: 20.00-0675 Relocate Existing CCTV/Security User Interface</x:v>
      </x:c>
      <x:c r="F653" s="20" t="n">
        <x:v>48229</x:v>
      </x:c>
      <x:c r="G653" s="8" t="str">
        <x:v>Buildings / building systems</x:v>
      </x:c>
      <x:c r="H653" s="8" t="str">
        <x:v>KGW November 2023 report; estimate dates not supplied</x:v>
      </x:c>
      <x:c r="I653" s="8" t="str">
        <x:v>https://flo.uri.sh/visualisation/15494950/embed</x:v>
      </x:c>
    </x:row>
    <x:row r="654" ht="46" customHeight="1">
      <x:c r="A654" s="7" t="n">
        <x:v>650</x:v>
      </x:c>
      <x:c r="B654" s="12" t="str">
        <x:v>Maint Facility - SE 136th and Reedway - Southeast</x:v>
      </x:c>
      <x:c r="C654" s="12" t="str">
        <x:v>ESPC-II_ Maint Facility - SE 136th and Holgate</x:v>
      </x:c>
      <x:c r="D654" s="12" t="str"/>
      <x:c r="E654" s="12" t="str">
        <x:v>Tighten schedules and setpoints to match occupancy and maintain a 5F deadband between occupied heating and cooling setpoints.. FIM Name: 04.01-0675 DDC/Control System Optimization</x:v>
      </x:c>
      <x:c r="F654" s="21" t="n">
        <x:v>1997</x:v>
      </x:c>
      <x:c r="G654" s="7" t="str">
        <x:v>Other site infrastructure</x:v>
      </x:c>
      <x:c r="H654" s="7" t="str">
        <x:v>KGW November 2023 report; estimate dates not supplied</x:v>
      </x:c>
      <x:c r="I654" s="7" t="str">
        <x:v>https://flo.uri.sh/visualisation/15494950/embed</x:v>
      </x:c>
    </x:row>
    <x:row r="655" ht="46" customHeight="1">
      <x:c r="A655" s="8" t="n">
        <x:v>651</x:v>
      </x:c>
      <x:c r="B655" s="11" t="str">
        <x:v>Maint Facility - SE 136th and Reedway - Southeast</x:v>
      </x:c>
      <x:c r="C655" s="11" t="str">
        <x:v>ESPC-II_ Maint Facility - SE 136th and Holgate</x:v>
      </x:c>
      <x:c r="D655" s="11" t="str"/>
      <x:c r="E655" s="11" t="str">
        <x:v>Convert existing lighting to LED technology via a re-lamp approach.. FIM Name: 09.07-0675 Building Exterior Lighting LED Conversion</x:v>
      </x:c>
      <x:c r="F655" s="20" t="n">
        <x:v>1649</x:v>
      </x:c>
      <x:c r="G655" s="8" t="str">
        <x:v>Buildings / building systems</x:v>
      </x:c>
      <x:c r="H655" s="8" t="str">
        <x:v>KGW November 2023 report; estimate dates not supplied</x:v>
      </x:c>
      <x:c r="I655" s="8" t="str">
        <x:v>https://flo.uri.sh/visualisation/15494950/embed</x:v>
      </x:c>
    </x:row>
    <x:row r="656" ht="46" customHeight="1">
      <x:c r="A656" s="7" t="n">
        <x:v>652</x:v>
      </x:c>
      <x:c r="B656" s="12" t="str">
        <x:v>Maint Facility - SE 136th and Reedway - Southeast</x:v>
      </x:c>
      <x:c r="C656" s="12" t="str">
        <x:v>ESPC-II_ Maint Facility - SE 136th and Holgate</x:v>
      </x:c>
      <x:c r="D656" s="12" t="str"/>
      <x:c r="E656" s="12" t="str">
        <x:v>Install a GE control node on each pathway light fixture.  Node for parks with &lt;50 fixtures will be model #ELWM18BXXXXAD.  Node for parks with &gt;50 fixtures will be model #ELWN08BXXXXAD.. FIM Name: 09.17-0675 Building Exterior Lighting Controls</x:v>
      </x:c>
      <x:c r="F656" s="21" t="n">
        <x:v>1098</x:v>
      </x:c>
      <x:c r="G656" s="7" t="str">
        <x:v>Buildings / building systems</x:v>
      </x:c>
      <x:c r="H656" s="7" t="str">
        <x:v>KGW November 2023 report; estimate dates not supplied</x:v>
      </x:c>
      <x:c r="I656" s="7" t="str">
        <x:v>https://flo.uri.sh/visualisation/15494950/embed</x:v>
      </x:c>
    </x:row>
    <x:row r="657" ht="46" customHeight="1">
      <x:c r="A657" s="8" t="n">
        <x:v>653</x:v>
      </x:c>
      <x:c r="B657" s="11" t="str">
        <x:v>Maint Facility - SE 136th and Reedway - Southeast</x:v>
      </x:c>
      <x:c r="C657" s="11" t="str">
        <x:v>Upgrade building upon workspace assessment outcome</x:v>
      </x:c>
      <x:c r="D657" s="11" t="str"/>
      <x:c r="E657" s="11" t="str"/>
      <x:c r="F657" s="20" t="n">
        <x:v>0</x:v>
      </x:c>
      <x:c r="G657" s="8" t="str">
        <x:v>Buildings / building systems</x:v>
      </x:c>
      <x:c r="H657" s="8" t="str">
        <x:v>KGW November 2023 report; estimate dates not supplied</x:v>
      </x:c>
      <x:c r="I657" s="8" t="str">
        <x:v>https://flo.uri.sh/visualisation/15494950/embed</x:v>
      </x:c>
    </x:row>
    <x:row r="658" ht="46" customHeight="1">
      <x:c r="A658" s="7" t="n">
        <x:v>654</x:v>
      </x:c>
      <x:c r="B658" s="12" t="str">
        <x:v>Mallory Meadows Park</x:v>
      </x:c>
      <x:c r="C658" s="12" t="str">
        <x:v>Play Area Safety and ADA</x:v>
      </x:c>
      <x:c r="D658" s="12" t="str">
        <x:v>Mallory Meadows Park</x:v>
      </x:c>
      <x:c r="E658" s="12" t="str">
        <x:v>Install new ADA-compliant equipment and safety mats.</x:v>
      </x:c>
      <x:c r="F658" s="21" t="n">
        <x:v>185769</x:v>
      </x:c>
      <x:c r="G658" s="7" t="str">
        <x:v>Paths / access / bridges</x:v>
      </x:c>
      <x:c r="H658" s="7" t="str">
        <x:v>KGW November 2023 report; estimate dates not supplied</x:v>
      </x:c>
      <x:c r="I658" s="7" t="str">
        <x:v>https://flo.uri.sh/visualisation/15494950/embed</x:v>
      </x:c>
    </x:row>
    <x:row r="659" ht="46" customHeight="1">
      <x:c r="A659" s="8" t="n">
        <x:v>655</x:v>
      </x:c>
      <x:c r="B659" s="11" t="str">
        <x:v>Maricara Natural Area</x:v>
      </x:c>
      <x:c r="C659" s="11" t="str">
        <x:v>Pathway Renovation</x:v>
      </x:c>
      <x:c r="D659" s="11" t="str">
        <x:v>Maricara Natural Area</x:v>
      </x:c>
      <x:c r="E659" s="11" t="str">
        <x:v>Replace the damaged pathway, trails and sidewalks that have been rated as 4 and 5 in Pathway assessment</x:v>
      </x:c>
      <x:c r="F659" s="20" t="n">
        <x:v>35654</x:v>
      </x:c>
      <x:c r="G659" s="8" t="str">
        <x:v>Paths / access / bridges</x:v>
      </x:c>
      <x:c r="H659" s="8" t="str">
        <x:v>KGW November 2023 report; estimate dates not supplied</x:v>
      </x:c>
      <x:c r="I659" s="8" t="str">
        <x:v>https://flo.uri.sh/visualisation/15494950/embed</x:v>
      </x:c>
    </x:row>
    <x:row r="660" ht="46" customHeight="1">
      <x:c r="A660" s="7" t="n">
        <x:v>656</x:v>
      </x:c>
      <x:c r="B660" s="12" t="str">
        <x:v>Marquam Nature Park</x:v>
      </x:c>
      <x:c r="C660" s="12" t="str">
        <x:v>Slide from SW Broadway Drive</x:v>
      </x:c>
      <x:c r="D660" s="12" t="str">
        <x:v>Road</x:v>
      </x:c>
      <x:c r="E660" s="12" t="str">
        <x:v>Marquam Nature Park-this slide is from 2018 and ran from SW Broadway Drive down into Marquam Nature Park.  Current condition-covered in plastic</x:v>
      </x:c>
      <x:c r="F660" s="21" t="n">
        <x:v>57855</x:v>
      </x:c>
      <x:c r="G660" s="7" t="str">
        <x:v>Other site infrastructure</x:v>
      </x:c>
      <x:c r="H660" s="7" t="str">
        <x:v>KGW November 2023 report; estimate dates not supplied</x:v>
      </x:c>
      <x:c r="I660" s="7" t="str">
        <x:v>https://flo.uri.sh/visualisation/15494950/embed</x:v>
      </x:c>
    </x:row>
    <x:row r="661" ht="46" customHeight="1">
      <x:c r="A661" s="8" t="n">
        <x:v>657</x:v>
      </x:c>
      <x:c r="B661" s="11" t="str">
        <x:v>Marquam Nature Park</x:v>
      </x:c>
      <x:c r="C661" s="11" t="str">
        <x:v>Repair pedestrian bridge</x:v>
      </x:c>
      <x:c r="D661" s="11" t="str">
        <x:v>Pedestrian bridge</x:v>
      </x:c>
      <x:c r="E661" s="11" t="str">
        <x:v>Renovate Complex and Major bridges that was rated as 4-5 in bridge condition assessment 2021</x:v>
      </x:c>
      <x:c r="F661" s="20" t="n">
        <x:v>36740</x:v>
      </x:c>
      <x:c r="G661" s="8" t="str">
        <x:v>Paths / access / bridges</x:v>
      </x:c>
      <x:c r="H661" s="8" t="str">
        <x:v>KGW November 2023 report; estimate dates not supplied</x:v>
      </x:c>
      <x:c r="I661" s="8" t="str">
        <x:v>https://flo.uri.sh/visualisation/15494950/embed</x:v>
      </x:c>
    </x:row>
    <x:row r="662" ht="46" customHeight="1">
      <x:c r="A662" s="7" t="n">
        <x:v>658</x:v>
      </x:c>
      <x:c r="B662" s="12" t="str">
        <x:v>Marquam Nature Park</x:v>
      </x:c>
      <x:c r="C662" s="12" t="str">
        <x:v>Renovate parking lot_Parking Area A</x:v>
      </x:c>
      <x:c r="D662" s="12" t="str">
        <x:v>Parking Area A</x:v>
      </x:c>
      <x:c r="E662" s="12" t="str">
        <x:v>Repair parking lot that was rated 5 in condition assessment. Repair include surface, drainage and curb. approx area= 9431 sq.ft</x:v>
      </x:c>
      <x:c r="F662" s="21" t="n">
        <x:v>307867</x:v>
      </x:c>
      <x:c r="G662" s="7" t="str">
        <x:v>Utilities / lighting / drainage</x:v>
      </x:c>
      <x:c r="H662" s="7" t="str">
        <x:v>KGW November 2023 report; estimate dates not supplied</x:v>
      </x:c>
      <x:c r="I662" s="7" t="str">
        <x:v>https://flo.uri.sh/visualisation/15494950/embed</x:v>
      </x:c>
    </x:row>
    <x:row r="663" ht="46" customHeight="1">
      <x:c r="A663" s="8" t="n">
        <x:v>659</x:v>
      </x:c>
      <x:c r="B663" s="11" t="str">
        <x:v>Marquam Nature Park</x:v>
      </x:c>
      <x:c r="C663" s="11" t="str">
        <x:v>Pathway Renovation</x:v>
      </x:c>
      <x:c r="D663" s="11" t="str">
        <x:v>Marquam Nature Park</x:v>
      </x:c>
      <x:c r="E663" s="11" t="str">
        <x:v>Replace the damaged pathway, trails and sidewalks that have been rated as 4 and 5 in Pathway assessment</x:v>
      </x:c>
      <x:c r="F663" s="20" t="n">
        <x:v>161894</x:v>
      </x:c>
      <x:c r="G663" s="8" t="str">
        <x:v>Paths / access / bridges</x:v>
      </x:c>
      <x:c r="H663" s="8" t="str">
        <x:v>KGW November 2023 report; estimate dates not supplied</x:v>
      </x:c>
      <x:c r="I663" s="8" t="str">
        <x:v>https://flo.uri.sh/visualisation/15494950/embed</x:v>
      </x:c>
    </x:row>
    <x:row r="664" ht="46" customHeight="1">
      <x:c r="A664" s="7" t="n">
        <x:v>660</x:v>
      </x:c>
      <x:c r="B664" s="12" t="str">
        <x:v>Marquam Nature Park</x:v>
      </x:c>
      <x:c r="C664" s="12" t="str">
        <x:v>Repair pedestrian bridge</x:v>
      </x:c>
      <x:c r="D664" s="12" t="str">
        <x:v>Pedestrian bridge</x:v>
      </x:c>
      <x:c r="E664" s="12" t="str">
        <x:v>Renovate Complex and Major bridges that was rated as 4-5 in bridge condition assessment 2021</x:v>
      </x:c>
      <x:c r="F664" s="21" t="n">
        <x:v>16183</x:v>
      </x:c>
      <x:c r="G664" s="7" t="str">
        <x:v>Paths / access / bridges</x:v>
      </x:c>
      <x:c r="H664" s="7" t="str">
        <x:v>KGW November 2023 report; estimate dates not supplied</x:v>
      </x:c>
      <x:c r="I664" s="7" t="str">
        <x:v>https://flo.uri.sh/visualisation/15494950/embed</x:v>
      </x:c>
    </x:row>
    <x:row r="665" ht="46" customHeight="1">
      <x:c r="A665" s="8" t="n">
        <x:v>661</x:v>
      </x:c>
      <x:c r="B665" s="11" t="str">
        <x:v>Marquam Nature Park</x:v>
      </x:c>
      <x:c r="C665" s="11" t="str">
        <x:v>Ecological Restoration_ Marquam Nature Park</x:v>
      </x:c>
      <x:c r="D665" s="11" t="str"/>
      <x:c r="E665" s="11" t="str">
        <x:v>Placholder for Ecological health restoration</x:v>
      </x:c>
      <x:c r="F665" s="20" t="n">
        <x:v>147006</x:v>
      </x:c>
      <x:c r="G665" s="8" t="str">
        <x:v>Other site infrastructure</x:v>
      </x:c>
      <x:c r="H665" s="8" t="str">
        <x:v>KGW November 2023 report; estimate dates not supplied</x:v>
      </x:c>
      <x:c r="I665" s="8" t="str">
        <x:v>https://flo.uri.sh/visualisation/15494950/embed</x:v>
      </x:c>
    </x:row>
    <x:row r="666" ht="46" customHeight="1">
      <x:c r="A666" s="7" t="n">
        <x:v>662</x:v>
      </x:c>
      <x:c r="B666" s="12" t="str">
        <x:v>Marquam Nature Park</x:v>
      </x:c>
      <x:c r="C666" s="12" t="str">
        <x:v>Repair pedestrian bridge</x:v>
      </x:c>
      <x:c r="D666" s="12" t="str">
        <x:v>Pedestrian bridge</x:v>
      </x:c>
      <x:c r="E666" s="12" t="str">
        <x:v>Renovate Complex and Major bridges that was rated as 4-5 in bridge condition assessment 2021</x:v>
      </x:c>
      <x:c r="F666" s="21" t="n">
        <x:v>13122</x:v>
      </x:c>
      <x:c r="G666" s="7" t="str">
        <x:v>Paths / access / bridges</x:v>
      </x:c>
      <x:c r="H666" s="7" t="str">
        <x:v>KGW November 2023 report; estimate dates not supplied</x:v>
      </x:c>
      <x:c r="I666" s="7" t="str">
        <x:v>https://flo.uri.sh/visualisation/15494950/embed</x:v>
      </x:c>
    </x:row>
    <x:row r="667" ht="46" customHeight="1">
      <x:c r="A667" s="8" t="n">
        <x:v>663</x:v>
      </x:c>
      <x:c r="B667" s="11" t="str">
        <x:v>Marshall Park</x:v>
      </x:c>
      <x:c r="C667" s="11" t="str">
        <x:v>Ecological Restoration_ Marshall Park</x:v>
      </x:c>
      <x:c r="D667" s="11" t="str"/>
      <x:c r="E667" s="11" t="str">
        <x:v>Placholder for Ecological health restoration
Part of (Marshall park include Jensen and Foley-Balmer) project</x:v>
      </x:c>
      <x:c r="F667" s="20" t="n">
        <x:v>49041</x:v>
      </x:c>
      <x:c r="G667" s="8" t="str">
        <x:v>Other site infrastructure</x:v>
      </x:c>
      <x:c r="H667" s="8" t="str">
        <x:v>KGW November 2023 report; estimate dates not supplied</x:v>
      </x:c>
      <x:c r="I667" s="8" t="str">
        <x:v>https://flo.uri.sh/visualisation/15494950/embed</x:v>
      </x:c>
    </x:row>
    <x:row r="668" ht="46" customHeight="1">
      <x:c r="A668" s="7" t="n">
        <x:v>664</x:v>
      </x:c>
      <x:c r="B668" s="12" t="str">
        <x:v>Marshall Park</x:v>
      </x:c>
      <x:c r="C668" s="12" t="str">
        <x:v>Connector to Tryon Creek State Park</x:v>
      </x:c>
      <x:c r="D668" s="12" t="str"/>
      <x:c r="E668" s="12" t="str">
        <x:v>Replace the damaged pathway, trails and sidewalks that have been rated as 4 and 5 in Pathway assessment</x:v>
      </x:c>
      <x:c r="F668" s="21" t="n">
        <x:v>246464</x:v>
      </x:c>
      <x:c r="G668" s="7" t="str">
        <x:v>Paths / access / bridges</x:v>
      </x:c>
      <x:c r="H668" s="7" t="str">
        <x:v>KGW November 2023 report; estimate dates not supplied</x:v>
      </x:c>
      <x:c r="I668" s="7" t="str">
        <x:v>https://flo.uri.sh/visualisation/15494950/embed</x:v>
      </x:c>
    </x:row>
    <x:row r="669" ht="46" customHeight="1">
      <x:c r="A669" s="8" t="n">
        <x:v>665</x:v>
      </x:c>
      <x:c r="B669" s="11" t="str">
        <x:v>Marshall Park</x:v>
      </x:c>
      <x:c r="C669" s="11" t="str">
        <x:v>Renovate roof and buidling</x:v>
      </x:c>
      <x:c r="D669" s="11" t="str">
        <x:v>Cottage 1</x:v>
      </x:c>
      <x:c r="E669" s="11" t="str">
        <x:v>Roof and structure in Bad condition and rated as bad through condition aseesment</x:v>
      </x:c>
      <x:c r="F669" s="20" t="n">
        <x:v>154807</x:v>
      </x:c>
      <x:c r="G669" s="8" t="str">
        <x:v>Buildings / building systems</x:v>
      </x:c>
      <x:c r="H669" s="8" t="str">
        <x:v>KGW November 2023 report; estimate dates not supplied</x:v>
      </x:c>
      <x:c r="I669" s="8" t="str">
        <x:v>https://flo.uri.sh/visualisation/15494950/embed</x:v>
      </x:c>
    </x:row>
    <x:row r="670" ht="46" customHeight="1">
      <x:c r="A670" s="7" t="n">
        <x:v>666</x:v>
      </x:c>
      <x:c r="B670" s="12" t="str">
        <x:v>Marshall Park</x:v>
      </x:c>
      <x:c r="C670" s="12" t="str">
        <x:v>Add Handrail to mitigate falling hazard</x:v>
      </x:c>
      <x:c r="D670" s="12" t="str">
        <x:v>Marshall Park</x:v>
      </x:c>
      <x:c r="E670" s="12" t="str">
        <x:v>Problem:
There is an acute transition curve by a cliff without safety guardrail, and the curve is graded laterally towards the cliff which make the situation worse especially in wet season. It is located near Park enternace on SW collins and SW 18th PL
Suggestion:
Add guardrail along the curve by the cliff.</x:v>
      </x:c>
      <x:c r="F670" s="21" t="n">
        <x:v>12937</x:v>
      </x:c>
      <x:c r="G670" s="7" t="str">
        <x:v>Other site infrastructure</x:v>
      </x:c>
      <x:c r="H670" s="7" t="str">
        <x:v>KGW November 2023 report; estimate dates not supplied</x:v>
      </x:c>
      <x:c r="I670" s="7" t="str">
        <x:v>https://flo.uri.sh/visualisation/15494950/embed</x:v>
      </x:c>
    </x:row>
    <x:row r="671" ht="46" customHeight="1">
      <x:c r="A671" s="8" t="n">
        <x:v>667</x:v>
      </x:c>
      <x:c r="B671" s="11" t="str">
        <x:v>Mary Rieke Elementary School</x:v>
      </x:c>
      <x:c r="C671" s="11" t="str">
        <x:v>Replace sport field surface</x:v>
      </x:c>
      <x:c r="D671" s="11" t="str">
        <x:v>Sport field</x:v>
      </x:c>
      <x:c r="E671" s="11" t="str">
        <x:v>Recurrence project to replace sport field turf every 10 years</x:v>
      </x:c>
      <x:c r="F671" s="20" t="n">
        <x:v>1500000</x:v>
      </x:c>
      <x:c r="G671" s="8" t="str">
        <x:v>Fields / courts / play</x:v>
      </x:c>
      <x:c r="H671" s="8" t="str">
        <x:v>KGW November 2023 report; estimate dates not supplied</x:v>
      </x:c>
      <x:c r="I671" s="8" t="str">
        <x:v>https://flo.uri.sh/visualisation/15494950/embed</x:v>
      </x:c>
    </x:row>
    <x:row r="672" ht="46" customHeight="1">
      <x:c r="A672" s="7" t="n">
        <x:v>668</x:v>
      </x:c>
      <x:c r="B672" s="12" t="str">
        <x:v>Matt Dishman Community Center and Pool</x:v>
      </x:c>
      <x:c r="C672" s="12" t="str">
        <x:v>Replace old HVAC system</x:v>
      </x:c>
      <x:c r="D672" s="12" t="str">
        <x:v>Matt Dishman Community Center &amp; Pool</x:v>
      </x:c>
      <x:c r="E672" s="12" t="str">
        <x:v>Replace HVAC system that was installed before 2000 and add air conditioning to rear gymnasium and lobby</x:v>
      </x:c>
      <x:c r="F672" s="21" t="n">
        <x:v>4080007</x:v>
      </x:c>
      <x:c r="G672" s="7" t="str">
        <x:v>Pools / aquatics</x:v>
      </x:c>
      <x:c r="H672" s="7" t="str">
        <x:v>KGW November 2023 report; estimate dates not supplied</x:v>
      </x:c>
      <x:c r="I672" s="7" t="str">
        <x:v>https://flo.uri.sh/visualisation/15494950/embed</x:v>
      </x:c>
    </x:row>
    <x:row r="673" ht="46" customHeight="1">
      <x:c r="A673" s="8" t="n">
        <x:v>669</x:v>
      </x:c>
      <x:c r="B673" s="11" t="str">
        <x:v>Matt Dishman Community Center and Pool</x:v>
      </x:c>
      <x:c r="C673" s="11" t="str">
        <x:v>MDCC Pool Cover</x:v>
      </x:c>
      <x:c r="D673" s="11" t="str">
        <x:v>Matt Dishman Community Center and Pool</x:v>
      </x:c>
      <x:c r="E673" s="11" t="str">
        <x:v>Purchase pool covers for all indoor leisure &amp; lap pools</x:v>
      </x:c>
      <x:c r="F673" s="20" t="n">
        <x:v>32101</x:v>
      </x:c>
      <x:c r="G673" s="8" t="str">
        <x:v>Pools / aquatics</x:v>
      </x:c>
      <x:c r="H673" s="8" t="str">
        <x:v>KGW November 2023 report; estimate dates not supplied</x:v>
      </x:c>
      <x:c r="I673" s="8" t="str">
        <x:v>https://flo.uri.sh/visualisation/15494950/embed</x:v>
      </x:c>
    </x:row>
    <x:row r="674" ht="46" customHeight="1">
      <x:c r="A674" s="7" t="n">
        <x:v>670</x:v>
      </x:c>
      <x:c r="B674" s="12" t="str">
        <x:v>Matt Dishman Community Center and Pool</x:v>
      </x:c>
      <x:c r="C674" s="12" t="str">
        <x:v>Eletric lock</x:v>
      </x:c>
      <x:c r="D674" s="12" t="str">
        <x:v>Matt Dishman Community Center and Pool</x:v>
      </x:c>
      <x:c r="E674" s="12" t="str">
        <x:v>Add Electric lock to all doors.</x:v>
      </x:c>
      <x:c r="F674" s="21" t="n">
        <x:v>17990</x:v>
      </x:c>
      <x:c r="G674" s="7" t="str">
        <x:v>Pools / aquatics</x:v>
      </x:c>
      <x:c r="H674" s="7" t="str">
        <x:v>KGW November 2023 report; estimate dates not supplied</x:v>
      </x:c>
      <x:c r="I674" s="7" t="str">
        <x:v>https://flo.uri.sh/visualisation/15494950/embed</x:v>
      </x:c>
    </x:row>
    <x:row r="675" ht="46" customHeight="1">
      <x:c r="A675" s="8" t="n">
        <x:v>671</x:v>
      </x:c>
      <x:c r="B675" s="11" t="str">
        <x:v>Matt Dishman Community Center and Pool</x:v>
      </x:c>
      <x:c r="C675" s="11" t="str">
        <x:v>Pool shell replaster</x:v>
      </x:c>
      <x:c r="D675" s="11" t="str">
        <x:v>Matt Dishman Community Center and Pool</x:v>
      </x:c>
      <x:c r="E675" s="11" t="str">
        <x:v>This is Recurrence paroject that due every 10. Dishman pool will need to be replastered on or before 2026. See Project phases</x:v>
      </x:c>
      <x:c r="F675" s="20" t="n">
        <x:v>133993</x:v>
      </x:c>
      <x:c r="G675" s="8" t="str">
        <x:v>Pools / aquatics</x:v>
      </x:c>
      <x:c r="H675" s="8" t="str">
        <x:v>KGW November 2023 report; estimate dates not supplied</x:v>
      </x:c>
      <x:c r="I675" s="8" t="str">
        <x:v>https://flo.uri.sh/visualisation/15494950/embed</x:v>
      </x:c>
    </x:row>
    <x:row r="676" ht="46" customHeight="1">
      <x:c r="A676" s="7" t="n">
        <x:v>672</x:v>
      </x:c>
      <x:c r="B676" s="12" t="str">
        <x:v>Matt Dishman Community Center and Pool</x:v>
      </x:c>
      <x:c r="C676" s="12" t="str">
        <x:v>Upgrade Fire Protection</x:v>
      </x:c>
      <x:c r="D676" s="12" t="str">
        <x:v>Matt Dishman Community Center and Pool</x:v>
      </x:c>
      <x:c r="E676" s="12" t="str">
        <x:v>Provide automatic sprinkler protection throughout the building.</x:v>
      </x:c>
      <x:c r="F676" s="21" t="n">
        <x:v>131926</x:v>
      </x:c>
      <x:c r="G676" s="7" t="str">
        <x:v>Pools / aquatics</x:v>
      </x:c>
      <x:c r="H676" s="7" t="str">
        <x:v>KGW November 2023 report; estimate dates not supplied</x:v>
      </x:c>
      <x:c r="I676" s="7" t="str">
        <x:v>https://flo.uri.sh/visualisation/15494950/embed</x:v>
      </x:c>
    </x:row>
    <x:row r="677" ht="46" customHeight="1">
      <x:c r="A677" s="8" t="n">
        <x:v>673</x:v>
      </x:c>
      <x:c r="B677" s="11" t="str">
        <x:v>Matt Dishman Community Center and Pool</x:v>
      </x:c>
      <x:c r="C677" s="11" t="str">
        <x:v>Renovations and code upgrades</x:v>
      </x:c>
      <x:c r="D677" s="11" t="str">
        <x:v>Matt Dishman Community Center and Pool</x:v>
      </x:c>
      <x:c r="E677" s="11" t="str">
        <x:v>Seismic / structural upgrades, new windows, floors, siding, insulation, mechanical, electrical, lighting, AC in CC;  new roof, mechanical, energy upgrades, fire suppression, etc. at pool.</x:v>
      </x:c>
      <x:c r="F677" s="20" t="n">
        <x:v>13784150</x:v>
      </x:c>
      <x:c r="G677" s="8" t="str">
        <x:v>Pools / aquatics</x:v>
      </x:c>
      <x:c r="H677" s="8" t="str">
        <x:v>KGW November 2023 report; estimate dates not supplied</x:v>
      </x:c>
      <x:c r="I677" s="8" t="str">
        <x:v>https://flo.uri.sh/visualisation/15494950/embed</x:v>
      </x:c>
    </x:row>
    <x:row r="678" ht="46" customHeight="1">
      <x:c r="A678" s="7" t="n">
        <x:v>674</x:v>
      </x:c>
      <x:c r="B678" s="12" t="str">
        <x:v>Matt Dishman Community Center and Pool</x:v>
      </x:c>
      <x:c r="C678" s="12" t="str">
        <x:v>ESPC-III_Buildings Lighting to LEDs</x:v>
      </x:c>
      <x:c r="D678" s="12" t="str">
        <x:v>Community Center &amp; Pool</x:v>
      </x:c>
      <x:c r="E678" s="12" t="str">
        <x:v>LED conversion for Exterior and Interior Lights</x:v>
      </x:c>
      <x:c r="F678" s="21" t="n">
        <x:v>11760</x:v>
      </x:c>
      <x:c r="G678" s="7" t="str">
        <x:v>Pools / aquatics</x:v>
      </x:c>
      <x:c r="H678" s="7" t="str">
        <x:v>KGW November 2023 report; estimate dates not supplied</x:v>
      </x:c>
      <x:c r="I678" s="7" t="str">
        <x:v>https://flo.uri.sh/visualisation/15494950/embed</x:v>
      </x:c>
    </x:row>
    <x:row r="679" ht="46" customHeight="1">
      <x:c r="A679" s="8" t="n">
        <x:v>675</x:v>
      </x:c>
      <x:c r="B679" s="11" t="str">
        <x:v>Matt Dishman Community Center and Pool</x:v>
      </x:c>
      <x:c r="C679" s="11" t="str">
        <x:v>Install MMA non-slip flooring</x:v>
      </x:c>
      <x:c r="D679" s="11" t="str">
        <x:v>Matt Dishman Community Center and Pool</x:v>
      </x:c>
      <x:c r="E679" s="11" t="str">
        <x:v>Install MMA non-slip flooring throughout both locker room and all three all user changing rooms. Current flooring is tile and is very slippery. Many customers have fallen.</x:v>
      </x:c>
      <x:c r="F679" s="20" t="n">
        <x:v>102000</x:v>
      </x:c>
      <x:c r="G679" s="8" t="str">
        <x:v>Pools / aquatics</x:v>
      </x:c>
      <x:c r="H679" s="8" t="str">
        <x:v>KGW November 2023 report; estimate dates not supplied</x:v>
      </x:c>
      <x:c r="I679" s="8" t="str">
        <x:v>https://flo.uri.sh/visualisation/15494950/embed</x:v>
      </x:c>
    </x:row>
    <x:row r="680" ht="46" customHeight="1">
      <x:c r="A680" s="7" t="n">
        <x:v>676</x:v>
      </x:c>
      <x:c r="B680" s="12" t="str">
        <x:v>Matt Dishman Community Center and Pool</x:v>
      </x:c>
      <x:c r="C680" s="12" t="str">
        <x:v>Improve lighting from enterance to Parking lot</x:v>
      </x:c>
      <x:c r="D680" s="12" t="str">
        <x:v>Parking Lot</x:v>
      </x:c>
      <x:c r="E680" s="12" t="str">
        <x:v>The current lights from enterance to parking lot are not sufficient and creating safety concern. Check attached email for more detail</x:v>
      </x:c>
      <x:c r="F680" s="21" t="n">
        <x:v>10200</x:v>
      </x:c>
      <x:c r="G680" s="7" t="str">
        <x:v>Utilities / lighting / drainage</x:v>
      </x:c>
      <x:c r="H680" s="7" t="str">
        <x:v>KGW November 2023 report; estimate dates not supplied</x:v>
      </x:c>
      <x:c r="I680" s="7" t="str">
        <x:v>https://flo.uri.sh/visualisation/15494950/embed</x:v>
      </x:c>
    </x:row>
    <x:row r="681" ht="46" customHeight="1">
      <x:c r="A681" s="8" t="n">
        <x:v>677</x:v>
      </x:c>
      <x:c r="B681" s="11" t="str">
        <x:v>McCoy Park</x:v>
      </x:c>
      <x:c r="C681" s="11" t="str">
        <x:v>Playground renovation</x:v>
      </x:c>
      <x:c r="D681" s="11" t="str">
        <x:v>Play Area A</x:v>
      </x:c>
      <x:c r="E681" s="11" t="str">
        <x:v>Renovation or repair playground that was rated as 5 during playground assessment in 2020</x:v>
      </x:c>
      <x:c r="F681" s="20" t="n">
        <x:v>240562</x:v>
      </x:c>
      <x:c r="G681" s="8" t="str">
        <x:v>Fields / courts / play</x:v>
      </x:c>
      <x:c r="H681" s="8" t="str">
        <x:v>KGW November 2023 report; estimate dates not supplied</x:v>
      </x:c>
      <x:c r="I681" s="8" t="str">
        <x:v>https://flo.uri.sh/visualisation/15494950/embed</x:v>
      </x:c>
    </x:row>
    <x:row r="682" ht="46" customHeight="1">
      <x:c r="A682" s="7" t="n">
        <x:v>678</x:v>
      </x:c>
      <x:c r="B682" s="12" t="str">
        <x:v>McCoy Park</x:v>
      </x:c>
      <x:c r="C682" s="12" t="str">
        <x:v>Pathway Renovation</x:v>
      </x:c>
      <x:c r="D682" s="12" t="str">
        <x:v>Internal Pathway/ Sidewalk</x:v>
      </x:c>
      <x:c r="E682" s="12" t="str">
        <x:v>Replace the damaged pathway, trails and sidewalks that have been rated as 4 and 5 in Pathway assessment</x:v>
      </x:c>
      <x:c r="F682" s="21" t="n">
        <x:v>20179</x:v>
      </x:c>
      <x:c r="G682" s="7" t="str">
        <x:v>Paths / access / bridges</x:v>
      </x:c>
      <x:c r="H682" s="7" t="str">
        <x:v>KGW November 2023 report; estimate dates not supplied</x:v>
      </x:c>
      <x:c r="I682" s="7" t="str">
        <x:v>https://flo.uri.sh/visualisation/15494950/embed</x:v>
      </x:c>
    </x:row>
    <x:row r="683" ht="46" customHeight="1">
      <x:c r="A683" s="8" t="n">
        <x:v>679</x:v>
      </x:c>
      <x:c r="B683" s="11" t="str">
        <x:v>McCoy Park</x:v>
      </x:c>
      <x:c r="C683" s="11" t="str">
        <x:v>ESPC-III_Buildings Lighting to LEDs</x:v>
      </x:c>
      <x:c r="D683" s="11" t="str">
        <x:v>Storage</x:v>
      </x:c>
      <x:c r="E683" s="11" t="str">
        <x:v>LED conversion for Exterior and Interior Lights</x:v>
      </x:c>
      <x:c r="F683" s="20" t="n">
        <x:v>11760</x:v>
      </x:c>
      <x:c r="G683" s="8" t="str">
        <x:v>Buildings / building systems</x:v>
      </x:c>
      <x:c r="H683" s="8" t="str">
        <x:v>KGW November 2023 report; estimate dates not supplied</x:v>
      </x:c>
      <x:c r="I683" s="8" t="str">
        <x:v>https://flo.uri.sh/visualisation/15494950/embed</x:v>
      </x:c>
    </x:row>
    <x:row r="684" ht="46" customHeight="1">
      <x:c r="A684" s="7" t="n">
        <x:v>680</x:v>
      </x:c>
      <x:c r="B684" s="12" t="str">
        <x:v>McCoy Park</x:v>
      </x:c>
      <x:c r="C684" s="12" t="str">
        <x:v>ESPC-III_Buildings Lighting to LEDs</x:v>
      </x:c>
      <x:c r="D684" s="12" t="str">
        <x:v>Restroom - Storage</x:v>
      </x:c>
      <x:c r="E684" s="12" t="str">
        <x:v>LED conversion for Exterior and Interior Lights</x:v>
      </x:c>
      <x:c r="F684" s="21" t="n">
        <x:v>11760</x:v>
      </x:c>
      <x:c r="G684" s="7" t="str">
        <x:v>Buildings / building systems</x:v>
      </x:c>
      <x:c r="H684" s="7" t="str">
        <x:v>KGW November 2023 report; estimate dates not supplied</x:v>
      </x:c>
      <x:c r="I684" s="7" t="str">
        <x:v>https://flo.uri.sh/visualisation/15494950/embed</x:v>
      </x:c>
    </x:row>
    <x:row r="685" ht="46" customHeight="1">
      <x:c r="A685" s="8" t="n">
        <x:v>681</x:v>
      </x:c>
      <x:c r="B685" s="11" t="str">
        <x:v>McKenna Park</x:v>
      </x:c>
      <x:c r="C685" s="11" t="str">
        <x:v>Pathway Renovation</x:v>
      </x:c>
      <x:c r="D685" s="11" t="str">
        <x:v>McKenna Park</x:v>
      </x:c>
      <x:c r="E685" s="11" t="str">
        <x:v>Replace the damaged pathway, trails and sidewalks that have been rated as 4 and 5 in Pathway assessment</x:v>
      </x:c>
      <x:c r="F685" s="20" t="n">
        <x:v>182607</x:v>
      </x:c>
      <x:c r="G685" s="8" t="str">
        <x:v>Paths / access / bridges</x:v>
      </x:c>
      <x:c r="H685" s="8" t="str">
        <x:v>KGW November 2023 report; estimate dates not supplied</x:v>
      </x:c>
      <x:c r="I685" s="8" t="str">
        <x:v>https://flo.uri.sh/visualisation/15494950/embed</x:v>
      </x:c>
    </x:row>
    <x:row r="686" ht="46" customHeight="1">
      <x:c r="A686" s="7" t="n">
        <x:v>682</x:v>
      </x:c>
      <x:c r="B686" s="12" t="str">
        <x:v>McKenna Park</x:v>
      </x:c>
      <x:c r="C686" s="12" t="str">
        <x:v>ESPC-III_Buildings Lighting to LEDs</x:v>
      </x:c>
      <x:c r="D686" s="12" t="str">
        <x:v>Maintenance - Storage</x:v>
      </x:c>
      <x:c r="E686" s="12" t="str">
        <x:v>LED conversion for Exterior and Interior Lights</x:v>
      </x:c>
      <x:c r="F686" s="21" t="n">
        <x:v>11760</x:v>
      </x:c>
      <x:c r="G686" s="7" t="str">
        <x:v>Buildings / building systems</x:v>
      </x:c>
      <x:c r="H686" s="7" t="str">
        <x:v>KGW November 2023 report; estimate dates not supplied</x:v>
      </x:c>
      <x:c r="I686" s="7" t="str">
        <x:v>https://flo.uri.sh/visualisation/15494950/embed</x:v>
      </x:c>
    </x:row>
    <x:row r="687" ht="46" customHeight="1">
      <x:c r="A687" s="8" t="n">
        <x:v>683</x:v>
      </x:c>
      <x:c r="B687" s="11" t="str">
        <x:v>McKenna Park</x:v>
      </x:c>
      <x:c r="C687" s="11" t="str">
        <x:v>ESPC-III_Buildings Lighting to LEDs</x:v>
      </x:c>
      <x:c r="D687" s="11" t="str">
        <x:v>Restroom</x:v>
      </x:c>
      <x:c r="E687" s="11" t="str">
        <x:v>LED conversion for Exterior and Interior Lights</x:v>
      </x:c>
      <x:c r="F687" s="20" t="n">
        <x:v>11760</x:v>
      </x:c>
      <x:c r="G687" s="8" t="str">
        <x:v>Buildings / building systems</x:v>
      </x:c>
      <x:c r="H687" s="8" t="str">
        <x:v>KGW November 2023 report; estimate dates not supplied</x:v>
      </x:c>
      <x:c r="I687" s="8" t="str">
        <x:v>https://flo.uri.sh/visualisation/15494950/embed</x:v>
      </x:c>
    </x:row>
    <x:row r="688" ht="46" customHeight="1">
      <x:c r="A688" s="7" t="n">
        <x:v>684</x:v>
      </x:c>
      <x:c r="B688" s="12" t="str">
        <x:v>Merrifield Park</x:v>
      </x:c>
      <x:c r="C688" s="12" t="str">
        <x:v>ESPC-III_Pathway Lighting to LEDs</x:v>
      </x:c>
      <x:c r="D688" s="12" t="str"/>
      <x:c r="E688" s="12" t="str">
        <x:v>Pathway Lighting Conversion to LEDs and Controls. Aprox: 2 Poles</x:v>
      </x:c>
      <x:c r="F688" s="21" t="n">
        <x:v>7056</x:v>
      </x:c>
      <x:c r="G688" s="7" t="str">
        <x:v>Paths / access / bridges</x:v>
      </x:c>
      <x:c r="H688" s="7" t="str">
        <x:v>KGW November 2023 report; estimate dates not supplied</x:v>
      </x:c>
      <x:c r="I688" s="7" t="str">
        <x:v>https://flo.uri.sh/visualisation/15494950/embed</x:v>
      </x:c>
    </x:row>
    <x:row r="689" ht="46" customHeight="1">
      <x:c r="A689" s="8" t="n">
        <x:v>685</x:v>
      </x:c>
      <x:c r="B689" s="11" t="str">
        <x:v>Montavilla Park</x:v>
      </x:c>
      <x:c r="C689" s="11" t="str">
        <x:v>Replace sport field surface</x:v>
      </x:c>
      <x:c r="D689" s="11" t="str">
        <x:v>Futsol field</x:v>
      </x:c>
      <x:c r="E689" s="11" t="str">
        <x:v>Recurrence project to replace sport field surface every 10 years.</x:v>
      </x:c>
      <x:c r="F689" s="20" t="n">
        <x:v>500000</x:v>
      </x:c>
      <x:c r="G689" s="8" t="str">
        <x:v>Fields / courts / play</x:v>
      </x:c>
      <x:c r="H689" s="8" t="str">
        <x:v>KGW November 2023 report; estimate dates not supplied</x:v>
      </x:c>
      <x:c r="I689" s="8" t="str">
        <x:v>https://flo.uri.sh/visualisation/15494950/embed</x:v>
      </x:c>
    </x:row>
    <x:row r="690" ht="46" customHeight="1">
      <x:c r="A690" s="7" t="n">
        <x:v>686</x:v>
      </x:c>
      <x:c r="B690" s="12" t="str">
        <x:v>Montavilla Park</x:v>
      </x:c>
      <x:c r="C690" s="12" t="str">
        <x:v>Rebuild or Major Renovation</x:v>
      </x:c>
      <x:c r="D690" s="12" t="str">
        <x:v>Montavilla Community Center &amp; Pool</x:v>
      </x:c>
      <x:c r="E690" s="12" t="str">
        <x:v>Rebuild or extensively renovate CC to meet current and future community needs.  Look at pool needs at same time.</x:v>
      </x:c>
      <x:c r="F690" s="21" t="n">
        <x:v>46442240</x:v>
      </x:c>
      <x:c r="G690" s="7" t="str">
        <x:v>Pools / aquatics</x:v>
      </x:c>
      <x:c r="H690" s="7" t="str">
        <x:v>KGW November 2023 report; estimate dates not supplied</x:v>
      </x:c>
      <x:c r="I690" s="7" t="str">
        <x:v>https://flo.uri.sh/visualisation/15494950/embed</x:v>
      </x:c>
    </x:row>
    <x:row r="691" ht="46" customHeight="1">
      <x:c r="A691" s="8" t="n">
        <x:v>687</x:v>
      </x:c>
      <x:c r="B691" s="11" t="str">
        <x:v>Montavilla Park</x:v>
      </x:c>
      <x:c r="C691" s="11" t="str">
        <x:v>Playground renovation</x:v>
      </x:c>
      <x:c r="D691" s="11" t="str">
        <x:v>Play area A</x:v>
      </x:c>
      <x:c r="E691" s="11" t="str">
        <x:v>Renovate playground rated 4 or 5 in condition assessment</x:v>
      </x:c>
      <x:c r="F691" s="20" t="n">
        <x:v>387374</x:v>
      </x:c>
      <x:c r="G691" s="8" t="str">
        <x:v>Fields / courts / play</x:v>
      </x:c>
      <x:c r="H691" s="8" t="str">
        <x:v>KGW November 2023 report; estimate dates not supplied</x:v>
      </x:c>
      <x:c r="I691" s="8" t="str">
        <x:v>https://flo.uri.sh/visualisation/15494950/embed</x:v>
      </x:c>
    </x:row>
    <x:row r="692" ht="46" customHeight="1">
      <x:c r="A692" s="7" t="n">
        <x:v>688</x:v>
      </x:c>
      <x:c r="B692" s="12" t="str">
        <x:v>Montavilla Park</x:v>
      </x:c>
      <x:c r="C692" s="12" t="str">
        <x:v>Replace the backflow preventer with Reduced Pressu</x:v>
      </x:c>
      <x:c r="D692" s="12" t="str">
        <x:v>Montavilla Community Center &amp; Pool</x:v>
      </x:c>
      <x:c r="E692" s="12" t="str">
        <x:v>The backflow preventer is failing in test and need to be replaced</x:v>
      </x:c>
      <x:c r="F692" s="21" t="n">
        <x:v>35980</x:v>
      </x:c>
      <x:c r="G692" s="7" t="str">
        <x:v>Pools / aquatics</x:v>
      </x:c>
      <x:c r="H692" s="7" t="str">
        <x:v>KGW November 2023 report; estimate dates not supplied</x:v>
      </x:c>
      <x:c r="I692" s="7" t="str">
        <x:v>https://flo.uri.sh/visualisation/15494950/embed</x:v>
      </x:c>
    </x:row>
    <x:row r="693" ht="46" customHeight="1">
      <x:c r="A693" s="8" t="n">
        <x:v>689</x:v>
      </x:c>
      <x:c r="B693" s="11" t="str">
        <x:v>Montavilla Park</x:v>
      </x:c>
      <x:c r="C693" s="11" t="str">
        <x:v>ESPC-II_ Montavilla Park</x:v>
      </x:c>
      <x:c r="D693" s="11" t="str"/>
      <x:c r="E693" s="11" t="str">
        <x:v>Replace existing HPS Field Lighting with LED Fixtures.  Existing Poles to remain.. FIM Name: 09.01-0268 Baseball Field Lighting LED Conversion</x:v>
      </x:c>
      <x:c r="F693" s="20" t="n">
        <x:v>297130</x:v>
      </x:c>
      <x:c r="G693" s="8" t="str">
        <x:v>Fields / courts / play</x:v>
      </x:c>
      <x:c r="H693" s="8" t="str">
        <x:v>KGW November 2023 report; estimate dates not supplied</x:v>
      </x:c>
      <x:c r="I693" s="8" t="str">
        <x:v>https://flo.uri.sh/visualisation/15494950/embed</x:v>
      </x:c>
    </x:row>
    <x:row r="694" ht="46" customHeight="1">
      <x:c r="A694" s="7" t="n">
        <x:v>690</x:v>
      </x:c>
      <x:c r="B694" s="12" t="str">
        <x:v>Montavilla Park</x:v>
      </x:c>
      <x:c r="C694" s="12" t="str">
        <x:v>Change light poles base connection</x:v>
      </x:c>
      <x:c r="D694" s="12" t="str">
        <x:v>Light poles</x:v>
      </x:c>
      <x:c r="E694" s="12"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7 approximately with estimated cost $3000/ pole.</x:v>
      </x:c>
      <x:c r="F694" s="21" t="n">
        <x:v>21420</x:v>
      </x:c>
      <x:c r="G694" s="7" t="str">
        <x:v>Utilities / lighting / drainage</x:v>
      </x:c>
      <x:c r="H694" s="7" t="str">
        <x:v>KGW November 2023 report; estimate dates not supplied</x:v>
      </x:c>
      <x:c r="I694" s="7" t="str">
        <x:v>https://flo.uri.sh/visualisation/15494950/embed</x:v>
      </x:c>
    </x:row>
    <x:row r="695" ht="46" customHeight="1">
      <x:c r="A695" s="8" t="n">
        <x:v>691</x:v>
      </x:c>
      <x:c r="B695" s="11" t="str">
        <x:v>Montavilla Park</x:v>
      </x:c>
      <x:c r="C695" s="11" t="str">
        <x:v>Pathway Renovation</x:v>
      </x:c>
      <x:c r="D695" s="11" t="str">
        <x:v>Montavilla Park</x:v>
      </x:c>
      <x:c r="E695" s="11" t="str">
        <x:v>Replace the damaged pathway, trails and sidewalks that have been rated as 4 and 5 in Pathway assessment</x:v>
      </x:c>
      <x:c r="F695" s="20" t="n">
        <x:v>200250</x:v>
      </x:c>
      <x:c r="G695" s="8" t="str">
        <x:v>Paths / access / bridges</x:v>
      </x:c>
      <x:c r="H695" s="8" t="str">
        <x:v>KGW November 2023 report; estimate dates not supplied</x:v>
      </x:c>
      <x:c r="I695" s="8" t="str">
        <x:v>https://flo.uri.sh/visualisation/15494950/embed</x:v>
      </x:c>
    </x:row>
    <x:row r="696" ht="46" customHeight="1">
      <x:c r="A696" s="7" t="n">
        <x:v>692</x:v>
      </x:c>
      <x:c r="B696" s="12" t="str">
        <x:v>Montavilla Park</x:v>
      </x:c>
      <x:c r="C696" s="12" t="str">
        <x:v>North parking lot improvements</x:v>
      </x:c>
      <x:c r="D696" s="12" t="str">
        <x:v>Montavilla Community Center &amp; Pool</x:v>
      </x:c>
      <x:c r="E696" s="12" t="str">
        <x:v>Widen entrance to north parking lot.</x:v>
      </x:c>
      <x:c r="F696" s="21" t="n">
        <x:v>15481</x:v>
      </x:c>
      <x:c r="G696" s="7" t="str">
        <x:v>Pools / aquatics</x:v>
      </x:c>
      <x:c r="H696" s="7" t="str">
        <x:v>KGW November 2023 report; estimate dates not supplied</x:v>
      </x:c>
      <x:c r="I696" s="7" t="str">
        <x:v>https://flo.uri.sh/visualisation/15494950/embed</x:v>
      </x:c>
    </x:row>
    <x:row r="697" ht="46" customHeight="1">
      <x:c r="A697" s="8" t="n">
        <x:v>693</x:v>
      </x:c>
      <x:c r="B697" s="11" t="str">
        <x:v>Montavilla Park</x:v>
      </x:c>
      <x:c r="C697" s="11" t="str">
        <x:v>ESPC-II_ Montavilla Park</x:v>
      </x:c>
      <x:c r="D697" s="11" t="str"/>
      <x:c r="E697" s="11" t="str">
        <x:v>Montavilla Park - Retro commission all irrigation sprinkler systems and heads to ensure proper thrown and timing. Replace 10% of all rotary and spray heads.. FIM Name: 18.10-0268 Irrigation System Improvements</x:v>
      </x:c>
      <x:c r="F697" s="20" t="n">
        <x:v>15256</x:v>
      </x:c>
      <x:c r="G697" s="8" t="str">
        <x:v>Utilities / lighting / drainage</x:v>
      </x:c>
      <x:c r="H697" s="8" t="str">
        <x:v>KGW November 2023 report; estimate dates not supplied</x:v>
      </x:c>
      <x:c r="I697" s="8" t="str">
        <x:v>https://flo.uri.sh/visualisation/15494950/embed</x:v>
      </x:c>
    </x:row>
    <x:row r="698" ht="46" customHeight="1">
      <x:c r="A698" s="7" t="n">
        <x:v>694</x:v>
      </x:c>
      <x:c r="B698" s="12" t="str">
        <x:v>Montavilla Park</x:v>
      </x:c>
      <x:c r="C698" s="12" t="str">
        <x:v>ESPC-II_ Montavilla Park</x:v>
      </x:c>
      <x:c r="D698" s="12" t="str"/>
      <x:c r="E698" s="12" t="str">
        <x:v>Montavilla Park; Close Portland Water Bureau (PWB) Account #2981622800 (Mtr #20052099) and move all loads (if any) to another like utility meter at this facility.. FIM Name: 07.01-0268 Consolidate Utility Meters</x:v>
      </x:c>
      <x:c r="F698" s="21" t="n">
        <x:v>14868</x:v>
      </x:c>
      <x:c r="G698" s="7" t="str">
        <x:v>Utilities / lighting / drainage</x:v>
      </x:c>
      <x:c r="H698" s="7" t="str">
        <x:v>KGW November 2023 report; estimate dates not supplied</x:v>
      </x:c>
      <x:c r="I698" s="7" t="str">
        <x:v>https://flo.uri.sh/visualisation/15494950/embed</x:v>
      </x:c>
    </x:row>
    <x:row r="699" ht="46" customHeight="1">
      <x:c r="A699" s="8" t="n">
        <x:v>695</x:v>
      </x:c>
      <x:c r="B699" s="11" t="str">
        <x:v>Montavilla Park</x:v>
      </x:c>
      <x:c r="C699" s="11" t="str">
        <x:v>ESPC-II_ Montavilla Park</x:v>
      </x:c>
      <x:c r="D699" s="11" t="str"/>
      <x:c r="E699" s="11" t="str">
        <x:v>For non-Musco field lights, an astronomical clock to keep field lights off until dusk/dark
For non-Musco field lights, dim at 10pm, off at 11
For non-Musco field lights, occupancy sensors to keep them on. FIM Name: 09.11-0268 Baseball Field Lighting Controls</x:v>
      </x:c>
      <x:c r="F699" s="20" t="n">
        <x:v>14848</x:v>
      </x:c>
      <x:c r="G699" s="8" t="str">
        <x:v>Fields / courts / play</x:v>
      </x:c>
      <x:c r="H699" s="8" t="str">
        <x:v>KGW November 2023 report; estimate dates not supplied</x:v>
      </x:c>
      <x:c r="I699" s="8" t="str">
        <x:v>https://flo.uri.sh/visualisation/15494950/embed</x:v>
      </x:c>
    </x:row>
    <x:row r="700" ht="46" customHeight="1">
      <x:c r="A700" s="7" t="n">
        <x:v>696</x:v>
      </x:c>
      <x:c r="B700" s="12" t="str">
        <x:v>Montavilla Park</x:v>
      </x:c>
      <x:c r="C700" s="12" t="str">
        <x:v>ESPC-II_ Montavilla Community Center &amp; Pool</x:v>
      </x:c>
      <x:c r="D700" s="12" t="str"/>
      <x:c r="E700" s="12" t="str">
        <x:v>Replace the existing 1998 A.O. Smith BTC-120-970 natural gas fired domestic water heater at Montavilla Community Center &amp; Pool with new high efficiency modulating natural gas domestic water heater.. FIM Name: 12.00-1119 New High Efficiency Domestic Water Heaters</x:v>
      </x:c>
      <x:c r="F700" s="21" t="n">
        <x:v>120177</x:v>
      </x:c>
      <x:c r="G700" s="7" t="str">
        <x:v>Pools / aquatics</x:v>
      </x:c>
      <x:c r="H700" s="7" t="str">
        <x:v>KGW November 2023 report; estimate dates not supplied</x:v>
      </x:c>
      <x:c r="I700" s="7" t="str">
        <x:v>https://flo.uri.sh/visualisation/15494950/embed</x:v>
      </x:c>
    </x:row>
    <x:row r="701" ht="46" customHeight="1">
      <x:c r="A701" s="8" t="n">
        <x:v>697</x:v>
      </x:c>
      <x:c r="B701" s="11" t="str">
        <x:v>Montavilla Park</x:v>
      </x:c>
      <x:c r="C701" s="11" t="str">
        <x:v>Replace Backflow preventer device</x:v>
      </x:c>
      <x:c r="D701" s="11" t="str">
        <x:v>Property</x:v>
      </x:c>
      <x:c r="E701" s="11" t="str">
        <x:v>- Replace out of compliance backflow preventer
- Assembly: Double Check Valve Assembly (DCVA)
- Premises Isolation (PI): 4" Double Check (DC)+ Vault. Serial # C0054
- Move to property line, if needed
- Hazard: Right of Way (ROW)</x:v>
      </x:c>
      <x:c r="F701" s="20" t="n">
        <x:v>10000</x:v>
      </x:c>
      <x:c r="G701" s="8" t="str">
        <x:v>Utilities / lighting / drainage</x:v>
      </x:c>
      <x:c r="H701" s="8" t="str">
        <x:v>KGW November 2023 report; estimate dates not supplied</x:v>
      </x:c>
      <x:c r="I701" s="8" t="str">
        <x:v>https://flo.uri.sh/visualisation/15494950/embed</x:v>
      </x:c>
    </x:row>
    <x:row r="702" ht="46" customHeight="1">
      <x:c r="A702" s="7" t="n">
        <x:v>698</x:v>
      </x:c>
      <x:c r="B702" s="12" t="str">
        <x:v>Moore Island</x:v>
      </x:c>
      <x:c r="C702" s="12" t="str">
        <x:v>Ecological Restoration_ Moore Island</x:v>
      </x:c>
      <x:c r="D702" s="12" t="str"/>
      <x:c r="E702" s="12" t="str">
        <x:v>Placholder for Ecological health restoration
Part of (Moore &amp; Wright Islands) project</x:v>
      </x:c>
      <x:c r="F702" s="21" t="n">
        <x:v>73503</x:v>
      </x:c>
      <x:c r="G702" s="7" t="str">
        <x:v>Other site infrastructure</x:v>
      </x:c>
      <x:c r="H702" s="7" t="str">
        <x:v>KGW November 2023 report; estimate dates not supplied</x:v>
      </x:c>
      <x:c r="I702" s="7" t="str">
        <x:v>https://flo.uri.sh/visualisation/15494950/embed</x:v>
      </x:c>
    </x:row>
    <x:row r="703" ht="46" customHeight="1">
      <x:c r="A703" s="8" t="n">
        <x:v>699</x:v>
      </x:c>
      <x:c r="B703" s="11" t="str">
        <x:v>Mt Scott Park</x:v>
      </x:c>
      <x:c r="C703" s="11" t="str">
        <x:v>Change light poles base connection</x:v>
      </x:c>
      <x:c r="D703" s="11" t="str">
        <x:v>Light poles</x:v>
      </x:c>
      <x:c r="E703"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19 approximately with estimated cost $3000/ pole.</x:v>
      </x:c>
      <x:c r="F703" s="20" t="n">
        <x:v>58140</x:v>
      </x:c>
      <x:c r="G703" s="8" t="str">
        <x:v>Utilities / lighting / drainage</x:v>
      </x:c>
      <x:c r="H703" s="8" t="str">
        <x:v>KGW November 2023 report; estimate dates not supplied</x:v>
      </x:c>
      <x:c r="I703" s="8" t="str">
        <x:v>https://flo.uri.sh/visualisation/15494950/embed</x:v>
      </x:c>
    </x:row>
    <x:row r="704" ht="46" customHeight="1">
      <x:c r="A704" s="7" t="n">
        <x:v>700</x:v>
      </x:c>
      <x:c r="B704" s="12" t="str">
        <x:v>Mt Scott Park</x:v>
      </x:c>
      <x:c r="C704" s="12" t="str">
        <x:v>Renovate sport field</x:v>
      </x:c>
      <x:c r="D704" s="12" t="str">
        <x:v>Ball Field 1</x:v>
      </x:c>
      <x:c r="E704" s="12" t="str">
        <x:v>Sport fields rated 4 or 5 in condition assessment</x:v>
      </x:c>
      <x:c r="F704" s="21" t="n">
        <x:v>545473</x:v>
      </x:c>
      <x:c r="G704" s="7" t="str">
        <x:v>Fields / courts / play</x:v>
      </x:c>
      <x:c r="H704" s="7" t="str">
        <x:v>KGW November 2023 report; estimate dates not supplied</x:v>
      </x:c>
      <x:c r="I704" s="7" t="str">
        <x:v>https://flo.uri.sh/visualisation/15494950/embed</x:v>
      </x:c>
    </x:row>
    <x:row r="705" ht="46" customHeight="1">
      <x:c r="A705" s="8" t="n">
        <x:v>701</x:v>
      </x:c>
      <x:c r="B705" s="11" t="str">
        <x:v>Mt Scott Park</x:v>
      </x:c>
      <x:c r="C705" s="11" t="str">
        <x:v>Pool Filter Replacement</x:v>
      </x:c>
      <x:c r="D705" s="11" t="str">
        <x:v>Mt Scott Community Center &amp; Pool</x:v>
      </x:c>
      <x:c r="E705" s="11" t="str">
        <x:v>Description: 
- Filter needs to be replaced due to age and ability to maintain.  Would like it to be replaced with a Defender Filter.
- The leisure pool filters are undersized and need to be replaced.  Currently filters need to be backwashed twice a day to keep them operational, an expensive use of water and labor.
Location: Pool Mechanical Room
Alt Contact: Andy Amato</x:v>
      </x:c>
      <x:c r="F705" s="20" t="n">
        <x:v>352277</x:v>
      </x:c>
      <x:c r="G705" s="8" t="str">
        <x:v>Pools / aquatics</x:v>
      </x:c>
      <x:c r="H705" s="8" t="str">
        <x:v>KGW November 2023 report; estimate dates not supplied</x:v>
      </x:c>
      <x:c r="I705" s="8" t="str">
        <x:v>https://flo.uri.sh/visualisation/15494950/embed</x:v>
      </x:c>
    </x:row>
    <x:row r="706" ht="46" customHeight="1">
      <x:c r="A706" s="7" t="n">
        <x:v>702</x:v>
      </x:c>
      <x:c r="B706" s="12" t="str">
        <x:v>Mt Scott Park</x:v>
      </x:c>
      <x:c r="C706" s="12" t="str">
        <x:v>Pool Shell Replaster</x:v>
      </x:c>
      <x:c r="D706" s="12" t="str">
        <x:v>Mt Scott Community Center &amp; Pool</x:v>
      </x:c>
      <x:c r="E706" s="12" t="str">
        <x:v>This is Recurrence paroject that due every 10. Mt Scott pool will need to be replastered on or before 2027. See Project phases</x:v>
      </x:c>
      <x:c r="F706" s="21" t="n">
        <x:v>264415</x:v>
      </x:c>
      <x:c r="G706" s="7" t="str">
        <x:v>Pools / aquatics</x:v>
      </x:c>
      <x:c r="H706" s="7" t="str">
        <x:v>KGW November 2023 report; estimate dates not supplied</x:v>
      </x:c>
      <x:c r="I706" s="7" t="str">
        <x:v>https://flo.uri.sh/visualisation/15494950/embed</x:v>
      </x:c>
    </x:row>
    <x:row r="707" ht="46" customHeight="1">
      <x:c r="A707" s="8" t="n">
        <x:v>703</x:v>
      </x:c>
      <x:c r="B707" s="11" t="str">
        <x:v>Mt Scott Park</x:v>
      </x:c>
      <x:c r="C707" s="11" t="str">
        <x:v>Replace Backflow preventer device</x:v>
      </x:c>
      <x:c r="D707" s="11" t="str">
        <x:v>Property</x:v>
      </x:c>
      <x:c r="E707" s="11" t="str">
        <x:v>- Replace out of compliance backflow preventers
- Assembly: Double Check Valve Assembly (DCVA)
- Move to property line, if needed
- Hazard: ROW and Aquatics
- See components for detail</x:v>
      </x:c>
      <x:c r="F707" s="20" t="n">
        <x:v>24000</x:v>
      </x:c>
      <x:c r="G707" s="8" t="str">
        <x:v>Pools / aquatics</x:v>
      </x:c>
      <x:c r="H707" s="8" t="str">
        <x:v>KGW November 2023 report; estimate dates not supplied</x:v>
      </x:c>
      <x:c r="I707" s="8" t="str">
        <x:v>https://flo.uri.sh/visualisation/15494950/embed</x:v>
      </x:c>
    </x:row>
    <x:row r="708" ht="46" customHeight="1">
      <x:c r="A708" s="7" t="n">
        <x:v>704</x:v>
      </x:c>
      <x:c r="B708" s="12" t="str">
        <x:v>Mt Scott Park</x:v>
      </x:c>
      <x:c r="C708" s="12" t="str">
        <x:v>Replace old HVAC system</x:v>
      </x:c>
      <x:c r="D708" s="12" t="str">
        <x:v>Mt. Scott Community Center &amp; Pool</x:v>
      </x:c>
      <x:c r="E708" s="12" t="str">
        <x:v>Placeholder: replace HVAC system that was installed before 2000</x:v>
      </x:c>
      <x:c r="F708" s="21" t="n">
        <x:v>238883</x:v>
      </x:c>
      <x:c r="G708" s="7" t="str">
        <x:v>Pools / aquatics</x:v>
      </x:c>
      <x:c r="H708" s="7" t="str">
        <x:v>KGW November 2023 report; estimate dates not supplied</x:v>
      </x:c>
      <x:c r="I708" s="7" t="str">
        <x:v>https://flo.uri.sh/visualisation/15494950/embed</x:v>
      </x:c>
    </x:row>
    <x:row r="709" ht="46" customHeight="1">
      <x:c r="A709" s="8" t="n">
        <x:v>705</x:v>
      </x:c>
      <x:c r="B709" s="11" t="str">
        <x:v>Mt Scott Park</x:v>
      </x:c>
      <x:c r="C709" s="11" t="str">
        <x:v>ESPC-III_Buildings Lighting to LEDs</x:v>
      </x:c>
      <x:c r="D709" s="11" t="str">
        <x:v>Community Center &amp; Pool</x:v>
      </x:c>
      <x:c r="E709" s="11" t="str">
        <x:v>LED conversion for Exterior and Interior Lights</x:v>
      </x:c>
      <x:c r="F709" s="20" t="n">
        <x:v>11760</x:v>
      </x:c>
      <x:c r="G709" s="8" t="str">
        <x:v>Pools / aquatics</x:v>
      </x:c>
      <x:c r="H709" s="8" t="str">
        <x:v>KGW November 2023 report; estimate dates not supplied</x:v>
      </x:c>
      <x:c r="I709" s="8" t="str">
        <x:v>https://flo.uri.sh/visualisation/15494950/embed</x:v>
      </x:c>
    </x:row>
    <x:row r="710" ht="46" customHeight="1">
      <x:c r="A710" s="7" t="n">
        <x:v>706</x:v>
      </x:c>
      <x:c r="B710" s="12" t="str">
        <x:v>Mt Scott Park</x:v>
      </x:c>
      <x:c r="C710" s="12" t="str">
        <x:v>ESPC-III_Buildings Lighting to LEDs</x:v>
      </x:c>
      <x:c r="D710" s="12" t="str">
        <x:v>Restroom</x:v>
      </x:c>
      <x:c r="E710" s="12" t="str">
        <x:v>LED conversion for Exterior and Interior Lights</x:v>
      </x:c>
      <x:c r="F710" s="21" t="n">
        <x:v>11760</x:v>
      </x:c>
      <x:c r="G710" s="7" t="str">
        <x:v>Buildings / building systems</x:v>
      </x:c>
      <x:c r="H710" s="7" t="str">
        <x:v>KGW November 2023 report; estimate dates not supplied</x:v>
      </x:c>
      <x:c r="I710" s="7" t="str">
        <x:v>https://flo.uri.sh/visualisation/15494950/embed</x:v>
      </x:c>
    </x:row>
    <x:row r="711" ht="46" customHeight="1">
      <x:c r="A711" s="8" t="n">
        <x:v>707</x:v>
      </x:c>
      <x:c r="B711" s="11" t="str">
        <x:v>Mt Scott Park</x:v>
      </x:c>
      <x:c r="C711" s="11" t="str">
        <x:v>Pathway Renovation</x:v>
      </x:c>
      <x:c r="D711" s="11" t="str">
        <x:v>Mt Scott Park</x:v>
      </x:c>
      <x:c r="E711" s="11" t="str">
        <x:v>Replace the damaged pathway, trails and sidewalks that have been rated as 4 and 5 in Pathway assessment</x:v>
      </x:c>
      <x:c r="F711" s="20" t="n">
        <x:v>107189</x:v>
      </x:c>
      <x:c r="G711" s="8" t="str">
        <x:v>Paths / access / bridges</x:v>
      </x:c>
      <x:c r="H711" s="8" t="str">
        <x:v>KGW November 2023 report; estimate dates not supplied</x:v>
      </x:c>
      <x:c r="I711" s="8" t="str">
        <x:v>https://flo.uri.sh/visualisation/15494950/embed</x:v>
      </x:c>
    </x:row>
    <x:row r="712" ht="46" customHeight="1">
      <x:c r="A712" s="7" t="n">
        <x:v>708</x:v>
      </x:c>
      <x:c r="B712" s="12" t="str">
        <x:v>Mt Scott Park</x:v>
      </x:c>
      <x:c r="C712" s="12" t="str">
        <x:v>Renovate Tennis sport court at Mt Scott Park</x:v>
      </x:c>
      <x:c r="D712" s="12" t="str">
        <x:v>Tennis Court</x:v>
      </x:c>
      <x:c r="E712" s="12" t="str">
        <x:v>Fix or replace the Asphalt surface of the court that is rated 4 through courts' assessment</x:v>
      </x:c>
      <x:c r="F712" s="21" t="n">
        <x:v>1033221</x:v>
      </x:c>
      <x:c r="G712" s="7" t="str">
        <x:v>Fields / courts / play</x:v>
      </x:c>
      <x:c r="H712" s="7" t="str">
        <x:v>KGW November 2023 report; estimate dates not supplied</x:v>
      </x:c>
      <x:c r="I712" s="7" t="str">
        <x:v>https://flo.uri.sh/visualisation/15494950/embed</x:v>
      </x:c>
    </x:row>
    <x:row r="713" ht="46" customHeight="1">
      <x:c r="A713" s="8" t="n">
        <x:v>709</x:v>
      </x:c>
      <x:c r="B713" s="11" t="str">
        <x:v>Mt Tabor Park</x:v>
      </x:c>
      <x:c r="C713" s="11" t="str">
        <x:v>Amphitheater Improvements</x:v>
      </x:c>
      <x:c r="D713" s="11" t="str">
        <x:v>Mt Tabor Park</x:v>
      </x:c>
      <x:c r="E713" s="11" t="str">
        <x:v>Renovate existing amphitheater, but do not enlarge.  Add small seating area in front of cinder cone with interpretative features.  Integrate with natural and geological setting.  Improve accessibility from parking lot to lower seating areas; provide better access with connections to existing trails.</x:v>
      </x:c>
      <x:c r="F713" s="20" t="n">
        <x:v>839093</x:v>
      </x:c>
      <x:c r="G713" s="8" t="str">
        <x:v>Paths / access / bridges</x:v>
      </x:c>
      <x:c r="H713" s="8" t="str">
        <x:v>KGW November 2023 report; estimate dates not supplied</x:v>
      </x:c>
      <x:c r="I713" s="8" t="str">
        <x:v>https://flo.uri.sh/visualisation/15494950/embed</x:v>
      </x:c>
    </x:row>
    <x:row r="714" ht="46" customHeight="1">
      <x:c r="A714" s="7" t="n">
        <x:v>710</x:v>
      </x:c>
      <x:c r="B714" s="12" t="str">
        <x:v>Mt Tabor Park</x:v>
      </x:c>
      <x:c r="C714" s="12" t="str">
        <x:v>Road Potholes</x:v>
      </x:c>
      <x:c r="D714" s="12" t="str">
        <x:v>Mt Tabor Park</x:v>
      </x:c>
      <x:c r="E714" s="12" t="str">
        <x:v>Repair the broken Potholes</x:v>
      </x:c>
      <x:c r="F714" s="21" t="n">
        <x:v>83953</x:v>
      </x:c>
      <x:c r="G714" s="7" t="str">
        <x:v>Other site infrastructure</x:v>
      </x:c>
      <x:c r="H714" s="7" t="str">
        <x:v>KGW November 2023 report; estimate dates not supplied</x:v>
      </x:c>
      <x:c r="I714" s="7" t="str">
        <x:v>https://flo.uri.sh/visualisation/15494950/embed</x:v>
      </x:c>
    </x:row>
    <x:row r="715" ht="46" customHeight="1">
      <x:c r="A715" s="8" t="n">
        <x:v>711</x:v>
      </x:c>
      <x:c r="B715" s="11" t="str">
        <x:v>Mt Tabor Park</x:v>
      </x:c>
      <x:c r="C715" s="11" t="str">
        <x:v>Lights Repair &amp; Add</x:v>
      </x:c>
      <x:c r="D715" s="11" t="str">
        <x:v>Mt Tabor Park</x:v>
      </x:c>
      <x:c r="E715" s="11" t="str">
        <x:v>Repair light pole bases and add lighting (approx 30) along the roadway where necessary.</x:v>
      </x:c>
      <x:c r="F715" s="20" t="n">
        <x:v>671275</x:v>
      </x:c>
      <x:c r="G715" s="8" t="str">
        <x:v>Utilities / lighting / drainage</x:v>
      </x:c>
      <x:c r="H715" s="8" t="str">
        <x:v>KGW November 2023 report; estimate dates not supplied</x:v>
      </x:c>
      <x:c r="I715" s="8" t="str">
        <x:v>https://flo.uri.sh/visualisation/15494950/embed</x:v>
      </x:c>
    </x:row>
    <x:row r="716" ht="46" customHeight="1">
      <x:c r="A716" s="7" t="n">
        <x:v>712</x:v>
      </x:c>
      <x:c r="B716" s="12" t="str">
        <x:v>Mt Tabor Park</x:v>
      </x:c>
      <x:c r="C716" s="12" t="str">
        <x:v>Existing Picnic Shelter Improvements</x:v>
      </x:c>
      <x:c r="D716" s="12" t="str">
        <x:v>Mt Tabor Park</x:v>
      </x:c>
      <x:c r="E716" s="12" t="str">
        <x:v>Add electrical and water service.  Correct drainage problem.</x:v>
      </x:c>
      <x:c r="F716" s="21" t="n">
        <x:v>67127</x:v>
      </x:c>
      <x:c r="G716" s="7" t="str">
        <x:v>Utilities / lighting / drainage</x:v>
      </x:c>
      <x:c r="H716" s="7" t="str">
        <x:v>KGW November 2023 report; estimate dates not supplied</x:v>
      </x:c>
      <x:c r="I716" s="7" t="str">
        <x:v>https://flo.uri.sh/visualisation/15494950/embed</x:v>
      </x:c>
    </x:row>
    <x:row r="717" ht="46" customHeight="1">
      <x:c r="A717" s="8" t="n">
        <x:v>713</x:v>
      </x:c>
      <x:c r="B717" s="11" t="str">
        <x:v>Mt Tabor Park</x:v>
      </x:c>
      <x:c r="C717" s="11" t="str">
        <x:v>Renovate Tennis court</x:v>
      </x:c>
      <x:c r="D717" s="11" t="str">
        <x:v>Tennis court 1</x:v>
      </x:c>
      <x:c r="E717" s="11" t="str">
        <x:v>Renovate tennis court surface as it is rated as 5 in court assessment</x:v>
      </x:c>
      <x:c r="F717" s="20" t="n">
        <x:v>588024</x:v>
      </x:c>
      <x:c r="G717" s="8" t="str">
        <x:v>Fields / courts / play</x:v>
      </x:c>
      <x:c r="H717" s="8" t="str">
        <x:v>KGW November 2023 report; estimate dates not supplied</x:v>
      </x:c>
      <x:c r="I717" s="8" t="str">
        <x:v>https://flo.uri.sh/visualisation/15494950/embed</x:v>
      </x:c>
    </x:row>
    <x:row r="718" ht="46" customHeight="1">
      <x:c r="A718" s="7" t="n">
        <x:v>714</x:v>
      </x:c>
      <x:c r="B718" s="12" t="str">
        <x:v>Mt Tabor Park</x:v>
      </x:c>
      <x:c r="C718" s="12" t="str">
        <x:v>Improve/ enhance tennis courts</x:v>
      </x:c>
      <x:c r="D718" s="12" t="str">
        <x:v>Mt Tabor Park</x:v>
      </x:c>
      <x:c r="E718" s="12" t="str">
        <x:v>Upgrade to community level facilities (2 sites w/ in park):  Rebuild and resurface East Courts (2)  Add fencing and benches.</x:v>
      </x:c>
      <x:c r="F718" s="21" t="n">
        <x:v>588024</x:v>
      </x:c>
      <x:c r="G718" s="7" t="str">
        <x:v>Fields / courts / play</x:v>
      </x:c>
      <x:c r="H718" s="7" t="str">
        <x:v>KGW November 2023 report; estimate dates not supplied</x:v>
      </x:c>
      <x:c r="I718" s="7" t="str">
        <x:v>https://flo.uri.sh/visualisation/15494950/embed</x:v>
      </x:c>
    </x:row>
    <x:row r="719" ht="46" customHeight="1">
      <x:c r="A719" s="8" t="n">
        <x:v>715</x:v>
      </x:c>
      <x:c r="B719" s="11" t="str">
        <x:v>Mt Tabor Park</x:v>
      </x:c>
      <x:c r="C719" s="11" t="str">
        <x:v>Parking Improvements</x:v>
      </x:c>
      <x:c r="D719" s="11" t="str">
        <x:v>Mt Tabor Park</x:v>
      </x:c>
      <x:c r="E719" s="11" t="str">
        <x:v>Improve parking on and adjacent to roads; includes drainage improvements, resurfacing, striping and signage.  Does not include new parking.  Install parking barriers where necessary and replant.</x:v>
      </x:c>
      <x:c r="F719" s="20" t="n">
        <x:v>570584</x:v>
      </x:c>
      <x:c r="G719" s="8" t="str">
        <x:v>Utilities / lighting / drainage</x:v>
      </x:c>
      <x:c r="H719" s="8" t="str">
        <x:v>KGW November 2023 report; estimate dates not supplied</x:v>
      </x:c>
      <x:c r="I719" s="8" t="str">
        <x:v>https://flo.uri.sh/visualisation/15494950/embed</x:v>
      </x:c>
    </x:row>
    <x:row r="720" ht="46" customHeight="1">
      <x:c r="A720" s="7" t="n">
        <x:v>716</x:v>
      </x:c>
      <x:c r="B720" s="12" t="str">
        <x:v>Mt Tabor Park</x:v>
      </x:c>
      <x:c r="C720" s="12" t="str">
        <x:v>Renovate electrical and mechanical equipment</x:v>
      </x:c>
      <x:c r="D720" s="12" t="str">
        <x:v>Maintenance building</x:v>
      </x:c>
      <x:c r="E720" s="12" t="str">
        <x:v>Electrical and mechanical equipment’s passed 25 year of service and need to replace.</x:v>
      </x:c>
      <x:c r="F720" s="21" t="n">
        <x:v>50000</x:v>
      </x:c>
      <x:c r="G720" s="7" t="str">
        <x:v>Buildings / building systems</x:v>
      </x:c>
      <x:c r="H720" s="7" t="str">
        <x:v>KGW November 2023 report; estimate dates not supplied</x:v>
      </x:c>
      <x:c r="I720" s="7" t="str">
        <x:v>https://flo.uri.sh/visualisation/15494950/embed</x:v>
      </x:c>
    </x:row>
    <x:row r="721" ht="46" customHeight="1">
      <x:c r="A721" s="8" t="n">
        <x:v>717</x:v>
      </x:c>
      <x:c r="B721" s="11" t="str">
        <x:v>Mt Tabor Park</x:v>
      </x:c>
      <x:c r="C721" s="11" t="str">
        <x:v>Mt Tabor Road Improvements</x:v>
      </x:c>
      <x:c r="D721" s="11" t="str">
        <x:v>Mt Tabor Park</x:v>
      </x:c>
      <x:c r="E721" s="11" t="str">
        <x:v>- Resurface roads in Mt Tabor Park open to traffic with asphalt overlay every 5-10 years
- Poor road and drainage issues casued bike accident near resovoir 1 access road</x:v>
      </x:c>
      <x:c r="F721" s="20" t="n">
        <x:v>469892</x:v>
      </x:c>
      <x:c r="G721" s="8" t="str">
        <x:v>Utilities / lighting / drainage</x:v>
      </x:c>
      <x:c r="H721" s="8" t="str">
        <x:v>KGW November 2023 report; estimate dates not supplied</x:v>
      </x:c>
      <x:c r="I721" s="8" t="str">
        <x:v>https://flo.uri.sh/visualisation/15494950/embed</x:v>
      </x:c>
    </x:row>
    <x:row r="722" ht="46" customHeight="1">
      <x:c r="A722" s="7" t="n">
        <x:v>718</x:v>
      </x:c>
      <x:c r="B722" s="12" t="str">
        <x:v>Mt Tabor Park</x:v>
      </x:c>
      <x:c r="C722" s="12" t="str">
        <x:v>Pathway Renovation</x:v>
      </x:c>
      <x:c r="D722" s="12" t="str">
        <x:v>Mt Tabor Park</x:v>
      </x:c>
      <x:c r="E722" s="12" t="str">
        <x:v>Replace the damaged pathway, trails and sidewalks that have been rated as 4 and 5 in Pathway assessment</x:v>
      </x:c>
      <x:c r="F722" s="21" t="n">
        <x:v>468877</x:v>
      </x:c>
      <x:c r="G722" s="7" t="str">
        <x:v>Paths / access / bridges</x:v>
      </x:c>
      <x:c r="H722" s="7" t="str">
        <x:v>KGW November 2023 report; estimate dates not supplied</x:v>
      </x:c>
      <x:c r="I722" s="7" t="str">
        <x:v>https://flo.uri.sh/visualisation/15494950/embed</x:v>
      </x:c>
    </x:row>
    <x:row r="723" ht="46" customHeight="1">
      <x:c r="A723" s="8" t="n">
        <x:v>719</x:v>
      </x:c>
      <x:c r="B723" s="11" t="str">
        <x:v>Mt Tabor Park</x:v>
      </x:c>
      <x:c r="C723" s="11" t="str">
        <x:v>Summit Overlook Improvements</x:v>
      </x:c>
      <x:c r="D723" s="11" t="str">
        <x:v>Mt Tabor Park</x:v>
      </x:c>
      <x:c r="E723" s="11" t="str">
        <x:v>Provide stone seatwall with lighting, specialty paving and benches consistent with the historical materials in the park.</x:v>
      </x:c>
      <x:c r="F723" s="20" t="n">
        <x:v>453110</x:v>
      </x:c>
      <x:c r="G723" s="8" t="str">
        <x:v>Utilities / lighting / drainage</x:v>
      </x:c>
      <x:c r="H723" s="8" t="str">
        <x:v>KGW November 2023 report; estimate dates not supplied</x:v>
      </x:c>
      <x:c r="I723" s="8" t="str">
        <x:v>https://flo.uri.sh/visualisation/15494950/embed</x:v>
      </x:c>
    </x:row>
    <x:row r="724" ht="46" customHeight="1">
      <x:c r="A724" s="7" t="n">
        <x:v>720</x:v>
      </x:c>
      <x:c r="B724" s="12" t="str">
        <x:v>Mt Tabor Park</x:v>
      </x:c>
      <x:c r="C724" s="12" t="str">
        <x:v>Repair Roadways</x:v>
      </x:c>
      <x:c r="D724" s="12" t="str">
        <x:v>Mt Tabor Park</x:v>
      </x:c>
      <x:c r="E724" s="12" t="str">
        <x:v>Roads on Tabor are suffering from pothole damage.  There is an existing CIP *1890) to resurface the roads entirely.  This project is to patch the roadways and extend their life, delaying the need to complete CIP 1890.</x:v>
      </x:c>
      <x:c r="F724" s="21" t="n">
        <x:v>44620</x:v>
      </x:c>
      <x:c r="G724" s="7" t="str">
        <x:v>Other site infrastructure</x:v>
      </x:c>
      <x:c r="H724" s="7" t="str">
        <x:v>KGW November 2023 report; estimate dates not supplied</x:v>
      </x:c>
      <x:c r="I724" s="7" t="str">
        <x:v>https://flo.uri.sh/visualisation/15494950/embed</x:v>
      </x:c>
    </x:row>
    <x:row r="725" ht="46" customHeight="1">
      <x:c r="A725" s="8" t="n">
        <x:v>721</x:v>
      </x:c>
      <x:c r="B725" s="11" t="str">
        <x:v>Mt Tabor Park</x:v>
      </x:c>
      <x:c r="C725" s="11" t="str">
        <x:v>Ecological Restoration_ Mt Tabor Park</x:v>
      </x:c>
      <x:c r="D725" s="11" t="str"/>
      <x:c r="E725" s="11" t="str">
        <x:v>Placholder for Ecological health restoration
Part of (Terwilliger Parkway including George Himes and Duniway) project</x:v>
      </x:c>
      <x:c r="F725" s="20" t="n">
        <x:v>294012</x:v>
      </x:c>
      <x:c r="G725" s="8" t="str">
        <x:v>Other site infrastructure</x:v>
      </x:c>
      <x:c r="H725" s="8" t="str">
        <x:v>KGW November 2023 report; estimate dates not supplied</x:v>
      </x:c>
      <x:c r="I725" s="8" t="str">
        <x:v>https://flo.uri.sh/visualisation/15494950/embed</x:v>
      </x:c>
    </x:row>
    <x:row r="726" ht="46" customHeight="1">
      <x:c r="A726" s="7" t="n">
        <x:v>722</x:v>
      </x:c>
      <x:c r="B726" s="12" t="str">
        <x:v>Mt Tabor Park</x:v>
      </x:c>
      <x:c r="C726" s="12" t="str">
        <x:v>Playground renovation</x:v>
      </x:c>
      <x:c r="D726" s="12" t="str">
        <x:v>Play Area C</x:v>
      </x:c>
      <x:c r="E726" s="12" t="str">
        <x:v>Renovation or repair playground that was rated as 4
 during playground assessment in 2020</x:v>
      </x:c>
      <x:c r="F726" s="21" t="n">
        <x:v>29671</x:v>
      </x:c>
      <x:c r="G726" s="7" t="str">
        <x:v>Fields / courts / play</x:v>
      </x:c>
      <x:c r="H726" s="7" t="str">
        <x:v>KGW November 2023 report; estimate dates not supplied</x:v>
      </x:c>
      <x:c r="I726" s="7" t="str">
        <x:v>https://flo.uri.sh/visualisation/15494950/embed</x:v>
      </x:c>
    </x:row>
    <x:row r="727" ht="46" customHeight="1">
      <x:c r="A727" s="8" t="n">
        <x:v>723</x:v>
      </x:c>
      <x:c r="B727" s="11" t="str">
        <x:v>Mt Tabor Park</x:v>
      </x:c>
      <x:c r="C727" s="11" t="str">
        <x:v>Harrison Play Area Improvements</x:v>
      </x:c>
      <x:c r="D727" s="11" t="str">
        <x:v>Mt Tabor Park</x:v>
      </x:c>
      <x:c r="E727" s="11" t="str">
        <x:v>Upgrade existing play area by adding accessible multi-age play equipment and resilient surfacing.  Add small free play area, per Technical Paper.</x:v>
      </x:c>
      <x:c r="F727" s="20" t="n">
        <x:v>262564</x:v>
      </x:c>
      <x:c r="G727" s="8" t="str">
        <x:v>Fields / courts / play</x:v>
      </x:c>
      <x:c r="H727" s="8" t="str">
        <x:v>KGW November 2023 report; estimate dates not supplied</x:v>
      </x:c>
      <x:c r="I727" s="8" t="str">
        <x:v>https://flo.uri.sh/visualisation/15494950/embed</x:v>
      </x:c>
    </x:row>
    <x:row r="728" ht="46" customHeight="1">
      <x:c r="A728" s="7" t="n">
        <x:v>724</x:v>
      </x:c>
      <x:c r="B728" s="12" t="str">
        <x:v>Mt Tabor Park</x:v>
      </x:c>
      <x:c r="C728" s="12" t="str">
        <x:v>Maintenance Building (not at yard)</x:v>
      </x:c>
      <x:c r="D728" s="12" t="str">
        <x:v>Mt Tabor Park</x:v>
      </x:c>
      <x:c r="E728" s="12" t="str">
        <x:v>Provide new water service (check to see if this is needed).  Improve storage yard, screen yard.  Paint interior and exterior.</x:v>
      </x:c>
      <x:c r="F728" s="21" t="n">
        <x:v>251728</x:v>
      </x:c>
      <x:c r="G728" s="7" t="str">
        <x:v>Buildings / building systems</x:v>
      </x:c>
      <x:c r="H728" s="7" t="str">
        <x:v>KGW November 2023 report; estimate dates not supplied</x:v>
      </x:c>
      <x:c r="I728" s="7" t="str">
        <x:v>https://flo.uri.sh/visualisation/15494950/embed</x:v>
      </x:c>
    </x:row>
    <x:row r="729" ht="46" customHeight="1">
      <x:c r="A729" s="8" t="n">
        <x:v>725</x:v>
      </x:c>
      <x:c r="B729" s="11" t="str">
        <x:v>Mt Tabor Park</x:v>
      </x:c>
      <x:c r="C729" s="11" t="str">
        <x:v>Fire Hydrants</x:v>
      </x:c>
      <x:c r="D729" s="11" t="str">
        <x:v>Mt Tabor Park</x:v>
      </x:c>
      <x:c r="E729" s="11" t="str">
        <x:v>No fire hydrants in park; will probably need 4"- 6" water supply line</x:v>
      </x:c>
      <x:c r="F729" s="20" t="n">
        <x:v>251728</x:v>
      </x:c>
      <x:c r="G729" s="8" t="str">
        <x:v>Utilities / lighting / drainage</x:v>
      </x:c>
      <x:c r="H729" s="8" t="str">
        <x:v>KGW November 2023 report; estimate dates not supplied</x:v>
      </x:c>
      <x:c r="I729" s="8" t="str">
        <x:v>https://flo.uri.sh/visualisation/15494950/embed</x:v>
      </x:c>
    </x:row>
    <x:row r="730" ht="46" customHeight="1">
      <x:c r="A730" s="7" t="n">
        <x:v>726</x:v>
      </x:c>
      <x:c r="B730" s="12" t="str">
        <x:v>Mt Tabor Park</x:v>
      </x:c>
      <x:c r="C730" s="12" t="str">
        <x:v>Change light poles base connection</x:v>
      </x:c>
      <x:c r="D730" s="12" t="str">
        <x:v>Light poles</x:v>
      </x:c>
      <x:c r="E730" s="12"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82 approximately with estimated cost $3000/ pole.</x:v>
      </x:c>
      <x:c r="F730" s="21" t="n">
        <x:v>250920</x:v>
      </x:c>
      <x:c r="G730" s="7" t="str">
        <x:v>Utilities / lighting / drainage</x:v>
      </x:c>
      <x:c r="H730" s="7" t="str">
        <x:v>KGW November 2023 report; estimate dates not supplied</x:v>
      </x:c>
      <x:c r="I730" s="7" t="str">
        <x:v>https://flo.uri.sh/visualisation/15494950/embed</x:v>
      </x:c>
    </x:row>
    <x:row r="731" ht="46" customHeight="1">
      <x:c r="A731" s="8" t="n">
        <x:v>727</x:v>
      </x:c>
      <x:c r="B731" s="11" t="str">
        <x:v>Mt Tabor Park</x:v>
      </x:c>
      <x:c r="C731" s="11" t="str">
        <x:v>Repair storm drain</x:v>
      </x:c>
      <x:c r="D731" s="11" t="str"/>
      <x:c r="E731" s="11" t="str">
        <x:v>The frame has sunk and bent creating a tripping hazard. Storm drain grate is welded together eliminating hazard but entire catch basin is failing and need to be replaced.  
Location: Enterance of SE 69th ave.</x:v>
      </x:c>
      <x:c r="F731" s="20" t="n">
        <x:v>16402</x:v>
      </x:c>
      <x:c r="G731" s="8" t="str">
        <x:v>Utilities / lighting / drainage</x:v>
      </x:c>
      <x:c r="H731" s="8" t="str">
        <x:v>KGW November 2023 report; estimate dates not supplied</x:v>
      </x:c>
      <x:c r="I731" s="8" t="str">
        <x:v>https://flo.uri.sh/visualisation/15494950/embed</x:v>
      </x:c>
    </x:row>
    <x:row r="732" ht="46" customHeight="1">
      <x:c r="A732" s="7" t="n">
        <x:v>728</x:v>
      </x:c>
      <x:c r="B732" s="12" t="str">
        <x:v>Mt Tabor Park</x:v>
      </x:c>
      <x:c r="C732" s="12" t="str">
        <x:v>Renovate the Structure or roof of building</x:v>
      </x:c>
      <x:c r="D732" s="12" t="str">
        <x:v>Electrical vault</x:v>
      </x:c>
      <x:c r="E732" s="12" t="str">
        <x:v>Fix or replace the Structure that is rated 4 through buildings' assessment</x:v>
      </x:c>
      <x:c r="F732" s="21" t="n">
        <x:v>119933</x:v>
      </x:c>
      <x:c r="G732" s="7" t="str">
        <x:v>Buildings / building systems</x:v>
      </x:c>
      <x:c r="H732" s="7" t="str">
        <x:v>KGW November 2023 report; estimate dates not supplied</x:v>
      </x:c>
      <x:c r="I732" s="7" t="str">
        <x:v>https://flo.uri.sh/visualisation/15494950/embed</x:v>
      </x:c>
    </x:row>
    <x:row r="733" ht="46" customHeight="1">
      <x:c r="A733" s="8" t="n">
        <x:v>729</x:v>
      </x:c>
      <x:c r="B733" s="11" t="str">
        <x:v>Mt Tabor Park</x:v>
      </x:c>
      <x:c r="C733" s="11" t="str">
        <x:v>ESPC-III_Buildings Lighting to LEDs</x:v>
      </x:c>
      <x:c r="D733" s="11" t="str">
        <x:v>Utility</x:v>
      </x:c>
      <x:c r="E733" s="11" t="str">
        <x:v>LED conversion for Exterior and Interior Lights</x:v>
      </x:c>
      <x:c r="F733" s="20" t="n">
        <x:v>11760</x:v>
      </x:c>
      <x:c r="G733" s="8" t="str">
        <x:v>Buildings / building systems</x:v>
      </x:c>
      <x:c r="H733" s="8" t="str">
        <x:v>KGW November 2023 report; estimate dates not supplied</x:v>
      </x:c>
      <x:c r="I733" s="8" t="str">
        <x:v>https://flo.uri.sh/visualisation/15494950/embed</x:v>
      </x:c>
    </x:row>
    <x:row r="734" ht="46" customHeight="1">
      <x:c r="A734" s="7" t="n">
        <x:v>730</x:v>
      </x:c>
      <x:c r="B734" s="12" t="str">
        <x:v>Mt Tabor Park</x:v>
      </x:c>
      <x:c r="C734" s="12" t="str">
        <x:v>ESPC-III_Buildings Lighting to LEDs</x:v>
      </x:c>
      <x:c r="D734" s="12" t="str">
        <x:v>Restroom - Storage</x:v>
      </x:c>
      <x:c r="E734" s="12" t="str">
        <x:v>LED conversion for Exterior and Interior Lights</x:v>
      </x:c>
      <x:c r="F734" s="21" t="n">
        <x:v>11760</x:v>
      </x:c>
      <x:c r="G734" s="7" t="str">
        <x:v>Buildings / building systems</x:v>
      </x:c>
      <x:c r="H734" s="7" t="str">
        <x:v>KGW November 2023 report; estimate dates not supplied</x:v>
      </x:c>
      <x:c r="I734" s="7" t="str">
        <x:v>https://flo.uri.sh/visualisation/15494950/embed</x:v>
      </x:c>
    </x:row>
    <x:row r="735" ht="46" customHeight="1">
      <x:c r="A735" s="8" t="n">
        <x:v>731</x:v>
      </x:c>
      <x:c r="B735" s="11" t="str">
        <x:v>Mt Tabor Park</x:v>
      </x:c>
      <x:c r="C735" s="11" t="str">
        <x:v>Dog Off Leash Area renovation</x:v>
      </x:c>
      <x:c r="D735" s="11" t="str">
        <x:v>Dog Off Leash Area</x:v>
      </x:c>
      <x:c r="E735" s="11" t="str">
        <x:v>Repair drainage issue, maintain turf, and other renovation to sustain the area</x:v>
      </x:c>
      <x:c r="F735" s="20" t="n">
        <x:v>102000</x:v>
      </x:c>
      <x:c r="G735" s="8" t="str">
        <x:v>Utilities / lighting / drainage</x:v>
      </x:c>
      <x:c r="H735" s="8" t="str">
        <x:v>KGW November 2023 report; estimate dates not supplied</x:v>
      </x:c>
      <x:c r="I735" s="8" t="str">
        <x:v>https://flo.uri.sh/visualisation/15494950/embed</x:v>
      </x:c>
    </x:row>
    <x:row r="736" ht="46" customHeight="1">
      <x:c r="A736" s="7" t="n">
        <x:v>732</x:v>
      </x:c>
      <x:c r="B736" s="12" t="str">
        <x:v>Mt Tabor Park</x:v>
      </x:c>
      <x:c r="C736" s="12" t="str">
        <x:v>Mt Tabor roads and retaining walls</x:v>
      </x:c>
      <x:c r="D736" s="12" t="str">
        <x:v>Mt Tabor Park</x:v>
      </x:c>
      <x:c r="E736" s="12" t="str">
        <x:v>Evaluate and repair roads and retaining walls in different locations in MT. Tabor Park, as below: 
-There is a retaining wal about 500ft up from East Tabor drive that rocks having been falling out. Johannes mentioned this is a safety issue.
- Retaining wall partially collapsed due to fallen tree.
- The retaining wall near the basketball courts and Ampitheater are missing some rocks need repair.
-Resurface roads in Mt Tabor Park open to traffic with asphalt overlay every 5-10 years</x:v>
      </x:c>
      <x:c r="F736" s="21" t="n">
        <x:v>1764072</x:v>
      </x:c>
      <x:c r="G736" s="7" t="str">
        <x:v>Fields / courts / play</x:v>
      </x:c>
      <x:c r="H736" s="7" t="str">
        <x:v>KGW November 2023 report; estimate dates not supplied</x:v>
      </x:c>
      <x:c r="I736" s="7" t="str">
        <x:v>https://flo.uri.sh/visualisation/15494950/embed</x:v>
      </x:c>
    </x:row>
    <x:row r="737" ht="46" customHeight="1">
      <x:c r="A737" s="8" t="n">
        <x:v>733</x:v>
      </x:c>
      <x:c r="B737" s="11" t="str">
        <x:v>Multnomah Arts Center</x:v>
      </x:c>
      <x:c r="C737" s="11" t="str">
        <x:v>Improvements to hallway lighting</x:v>
      </x:c>
      <x:c r="D737" s="11" t="str">
        <x:v>Multnomah Arts Center</x:v>
      </x:c>
      <x:c r="E737" s="11" t="str">
        <x:v>Replacement and expansion of hallway lighting system to adequately light the halls.  Additional benefit and potential revenue could be achieved through proper lighting of consigment art displays (existing and future).  Energy efficient fixtures will also reduce energy costs.</x:v>
      </x:c>
      <x:c r="F737" s="20" t="n">
        <x:v>98596</x:v>
      </x:c>
      <x:c r="G737" s="8" t="str">
        <x:v>Buildings / building systems</x:v>
      </x:c>
      <x:c r="H737" s="8" t="str">
        <x:v>KGW November 2023 report; estimate dates not supplied</x:v>
      </x:c>
      <x:c r="I737" s="8" t="str">
        <x:v>https://flo.uri.sh/visualisation/15494950/embed</x:v>
      </x:c>
    </x:row>
    <x:row r="738" ht="46" customHeight="1">
      <x:c r="A738" s="7" t="n">
        <x:v>734</x:v>
      </x:c>
      <x:c r="B738" s="12" t="str">
        <x:v>Multnomah Arts Center</x:v>
      </x:c>
      <x:c r="C738" s="12" t="str">
        <x:v>General Improvements - Phase 2 (newer buidlings)</x:v>
      </x:c>
      <x:c r="D738" s="12" t="str">
        <x:v>Multnomah Arts Center</x:v>
      </x:c>
      <x:c r="E738" s="12" t="str">
        <x:v>Newer Buildings:  General Preventative Maintenance plus service delivery and revenue generation upgrades to newer portions of site except Pottery, which has own line.</x:v>
      </x:c>
      <x:c r="F738" s="21" t="n">
        <x:v>9002054</x:v>
      </x:c>
      <x:c r="G738" s="7" t="str">
        <x:v>Buildings / building systems</x:v>
      </x:c>
      <x:c r="H738" s="7" t="str">
        <x:v>KGW November 2023 report; estimate dates not supplied</x:v>
      </x:c>
      <x:c r="I738" s="7" t="str">
        <x:v>https://flo.uri.sh/visualisation/15494950/embed</x:v>
      </x:c>
    </x:row>
    <x:row r="739" ht="46" customHeight="1">
      <x:c r="A739" s="8" t="n">
        <x:v>735</x:v>
      </x:c>
      <x:c r="B739" s="11" t="str">
        <x:v>Multnomah Arts Center</x:v>
      </x:c>
      <x:c r="C739" s="11" t="str">
        <x:v>Repair and Replace Clay Barrel Tile Roof &amp; Str</x:v>
      </x:c>
      <x:c r="D739" s="11" t="str">
        <x:v>Multnomah Arts Center</x:v>
      </x:c>
      <x:c r="E739" s="11" t="str">
        <x:v>The clay barrel tile roof system at MAC is in very poor to failed condition. Many tile are broken, crumbling, and delaminating. The sleepers that the tile are attached to have become brittle and are splitting and breaking and do not provide a proper anchorage for the tile which allow the tile to come loose and slip. The felt paper under the tile and sleepers has become brittle and has come apart in many areas. The skip sheeting under the felt paper is old and brittle and is in poor condition in many areas. there are areas of dry rot in the skip sheeting and the structural framing underneath. Many of the lead flashings are failing. The system as a whole springs multiple leaks annually which cause water damage to the building interior finishes and fixtures.</x:v>
      </x:c>
      <x:c r="F739" s="20" t="n">
        <x:v>680929</x:v>
      </x:c>
      <x:c r="G739" s="8" t="str">
        <x:v>Buildings / building systems</x:v>
      </x:c>
      <x:c r="H739" s="8" t="str">
        <x:v>KGW November 2023 report; estimate dates not supplied</x:v>
      </x:c>
      <x:c r="I739" s="8" t="str">
        <x:v>https://flo.uri.sh/visualisation/15494950/embed</x:v>
      </x:c>
    </x:row>
    <x:row r="740" ht="46" customHeight="1">
      <x:c r="A740" s="7" t="n">
        <x:v>736</x:v>
      </x:c>
      <x:c r="B740" s="12" t="str">
        <x:v>Multnomah Arts Center</x:v>
      </x:c>
      <x:c r="C740" s="12" t="str">
        <x:v>Security System Upgrade</x:v>
      </x:c>
      <x:c r="D740" s="12" t="str">
        <x:v>Multnomah Arts Center</x:v>
      </x:c>
      <x:c r="E740" s="12" t="str">
        <x:v>Improvements to current security system due to difficulty in monitoring a large facility.  Upgrade system to monitor facility with CCTV and alarming of additional facilities to minimize risk of theft.  CCTV to be installed in hallways to cover 7 separate entraces, gallery, courtyard and other art facilties.</x:v>
      </x:c>
      <x:c r="F740" s="21" t="n">
        <x:v>61435</x:v>
      </x:c>
      <x:c r="G740" s="7" t="str">
        <x:v>Buildings / building systems</x:v>
      </x:c>
      <x:c r="H740" s="7" t="str">
        <x:v>KGW November 2023 report; estimate dates not supplied</x:v>
      </x:c>
      <x:c r="I740" s="7" t="str">
        <x:v>https://flo.uri.sh/visualisation/15494950/embed</x:v>
      </x:c>
    </x:row>
    <x:row r="741" ht="46" customHeight="1">
      <x:c r="A741" s="8" t="n">
        <x:v>737</x:v>
      </x:c>
      <x:c r="B741" s="11" t="str">
        <x:v>Multnomah Arts Center</x:v>
      </x:c>
      <x:c r="C741" s="11" t="str">
        <x:v>Repair stormwater plumbing</x:v>
      </x:c>
      <x:c r="D741" s="11" t="str">
        <x:v>Multnomah Arts Center</x:v>
      </x:c>
      <x:c r="E741" s="11" t="str">
        <x:v>Address stormwater drainage issues that have caused damage to the facility and the grounds through major gutter and underground pipe repairs.  Some existing gutters, drains, and underground plumbing is clogged or collapsed, which has caused flooding both inside and outside the building.</x:v>
      </x:c>
      <x:c r="F741" s="20" t="n">
        <x:v>55586</x:v>
      </x:c>
      <x:c r="G741" s="8" t="str">
        <x:v>Buildings / building systems</x:v>
      </x:c>
      <x:c r="H741" s="8" t="str">
        <x:v>KGW November 2023 report; estimate dates not supplied</x:v>
      </x:c>
      <x:c r="I741" s="8" t="str">
        <x:v>https://flo.uri.sh/visualisation/15494950/embed</x:v>
      </x:c>
    </x:row>
    <x:row r="742" ht="46" customHeight="1">
      <x:c r="A742" s="7" t="n">
        <x:v>738</x:v>
      </x:c>
      <x:c r="B742" s="12" t="str">
        <x:v>Multnomah Arts Center</x:v>
      </x:c>
      <x:c r="C742" s="12" t="str">
        <x:v>Replace old HVAC system</x:v>
      </x:c>
      <x:c r="D742" s="12" t="str">
        <x:v>Multnomah Arts Center</x:v>
      </x:c>
      <x:c r="E742" s="12" t="str">
        <x:v>Placeholder: replace HVAC system that was installed before 2000</x:v>
      </x:c>
      <x:c r="F742" s="21" t="n">
        <x:v>5100009</x:v>
      </x:c>
      <x:c r="G742" s="7" t="str">
        <x:v>Buildings / building systems</x:v>
      </x:c>
      <x:c r="H742" s="7" t="str">
        <x:v>KGW November 2023 report; estimate dates not supplied</x:v>
      </x:c>
      <x:c r="I742" s="7" t="str">
        <x:v>https://flo.uri.sh/visualisation/15494950/embed</x:v>
      </x:c>
    </x:row>
    <x:row r="743" ht="46" customHeight="1">
      <x:c r="A743" s="8" t="n">
        <x:v>739</x:v>
      </x:c>
      <x:c r="B743" s="11" t="str">
        <x:v>Multnomah Arts Center</x:v>
      </x:c>
      <x:c r="C743" s="11" t="str">
        <x:v>Renovate Basketball court</x:v>
      </x:c>
      <x:c r="D743" s="11" t="str">
        <x:v>Multnomah Art Center Annexes</x:v>
      </x:c>
      <x:c r="E743" s="11" t="str">
        <x:v>Ground/court: 
- Hole developed where it appears fireworks The surface of the basketball court has a tripping hazard on the playing surface that continues to get worse, being both deeper and wider.  It is located just right of the free throw line on the north end of the court.
- The surface of the outdoor covered basketball court is deteriorating and is again becoming a potential safety hazard for the public.
Court Roof: 
Replace failing siding, roofing, and water drainage system.  Modify structure to include seismic upgrades.</x:v>
      </x:c>
      <x:c r="F743" s="20" t="n">
        <x:v>411617</x:v>
      </x:c>
      <x:c r="G743" s="8" t="str">
        <x:v>Buildings / building systems</x:v>
      </x:c>
      <x:c r="H743" s="8" t="str">
        <x:v>KGW November 2023 report; estimate dates not supplied</x:v>
      </x:c>
      <x:c r="I743" s="8" t="str">
        <x:v>https://flo.uri.sh/visualisation/15494950/embed</x:v>
      </x:c>
    </x:row>
    <x:row r="744" ht="46" customHeight="1">
      <x:c r="A744" s="7" t="n">
        <x:v>740</x:v>
      </x:c>
      <x:c r="B744" s="12" t="str">
        <x:v>Multnomah Arts Center</x:v>
      </x:c>
      <x:c r="C744" s="12" t="str">
        <x:v>Seismic / Structural</x:v>
      </x:c>
      <x:c r="D744" s="12" t="str">
        <x:v>Multnomah Art Center, Pottery Bldg</x:v>
      </x:c>
      <x:c r="E744" s="12" t="str">
        <x:v>There are 10 distinct 'blocks' that require slightly different treatments. See 2008 Comprehensive Seismic Repair Report by Waterleaf Architecture.</x:v>
      </x:c>
      <x:c r="F744" s="21" t="n">
        <x:v>4644224</x:v>
      </x:c>
      <x:c r="G744" s="7" t="str">
        <x:v>Buildings / building systems</x:v>
      </x:c>
      <x:c r="H744" s="7" t="str">
        <x:v>KGW November 2023 report; estimate dates not supplied</x:v>
      </x:c>
      <x:c r="I744" s="7" t="str">
        <x:v>https://flo.uri.sh/visualisation/15494950/embed</x:v>
      </x:c>
    </x:row>
    <x:row r="745" ht="46" customHeight="1">
      <x:c r="A745" s="8" t="n">
        <x:v>741</x:v>
      </x:c>
      <x:c r="B745" s="11" t="str">
        <x:v>Multnomah Arts Center</x:v>
      </x:c>
      <x:c r="C745" s="11" t="str">
        <x:v>Fire Protection improvement</x:v>
      </x:c>
      <x:c r="D745" s="11" t="str">
        <x:v>Multnomah Arts Center</x:v>
      </x:c>
      <x:c r="E745" s="11" t="str">
        <x:v>- Provide automatic sprinklers in unprotected areas such as cottages
- Upgrade fire alarm system</x:v>
      </x:c>
      <x:c r="F745" s="20" t="n">
        <x:v>359799</x:v>
      </x:c>
      <x:c r="G745" s="8" t="str">
        <x:v>Buildings / building systems</x:v>
      </x:c>
      <x:c r="H745" s="8" t="str">
        <x:v>KGW November 2023 report; estimate dates not supplied</x:v>
      </x:c>
      <x:c r="I745" s="8" t="str">
        <x:v>https://flo.uri.sh/visualisation/15494950/embed</x:v>
      </x:c>
    </x:row>
    <x:row r="746" ht="46" customHeight="1">
      <x:c r="A746" s="7" t="n">
        <x:v>742</x:v>
      </x:c>
      <x:c r="B746" s="12" t="str">
        <x:v>Multnomah Arts Center</x:v>
      </x:c>
      <x:c r="C746" s="12" t="str">
        <x:v>Exterior Paint for N and NW side</x:v>
      </x:c>
      <x:c r="D746" s="12" t="str">
        <x:v>Multnomah Arts Center</x:v>
      </x:c>
      <x:c r="E746" s="12" t="str">
        <x:v>critical painting of exterior of main facility to prevent further deterioration of building, especially at N and NW areas of building. The Parapet maybe absorbing the water from the roof cause the paint to deteriorate</x:v>
      </x:c>
      <x:c r="F746" s="21" t="n">
        <x:v>35980</x:v>
      </x:c>
      <x:c r="G746" s="7" t="str">
        <x:v>Buildings / building systems</x:v>
      </x:c>
      <x:c r="H746" s="7" t="str">
        <x:v>KGW November 2023 report; estimate dates not supplied</x:v>
      </x:c>
      <x:c r="I746" s="7" t="str">
        <x:v>https://flo.uri.sh/visualisation/15494950/embed</x:v>
      </x:c>
    </x:row>
    <x:row r="747" ht="46" customHeight="1">
      <x:c r="A747" s="8" t="n">
        <x:v>743</x:v>
      </x:c>
      <x:c r="B747" s="11" t="str">
        <x:v>Multnomah Arts Center</x:v>
      </x:c>
      <x:c r="C747" s="11" t="str">
        <x:v>Window Replacement</x:v>
      </x:c>
      <x:c r="D747" s="11" t="str">
        <x:v>Multnomah Arts Center</x:v>
      </x:c>
      <x:c r="E747" s="11" t="str">
        <x:v>1- Dance studio has high ceilings and single-pane windows that are inefficient.  Cement and glazing are failing, water has leaked onto wood flooring.  These windows are the #1 priority for MAC manager.
2- Gym has high ceilings and single-pane windows that are inefficient.  Cement and glazing are failing, water has leaked onto wood flooring.  These windows are the #2 priority for MAC manager.
3- Replacement of approximately 2/3 of the windows that are original 1913-1918 single pane windows, with energy efficient windows.</x:v>
      </x:c>
      <x:c r="F747" s="20" t="n">
        <x:v>270694</x:v>
      </x:c>
      <x:c r="G747" s="8" t="str">
        <x:v>Buildings / building systems</x:v>
      </x:c>
      <x:c r="H747" s="8" t="str">
        <x:v>KGW November 2023 report; estimate dates not supplied</x:v>
      </x:c>
      <x:c r="I747" s="8" t="str">
        <x:v>https://flo.uri.sh/visualisation/15494950/embed</x:v>
      </x:c>
    </x:row>
    <x:row r="748" ht="46" customHeight="1">
      <x:c r="A748" s="7" t="n">
        <x:v>744</x:v>
      </x:c>
      <x:c r="B748" s="12" t="str">
        <x:v>Multnomah Arts Center</x:v>
      </x:c>
      <x:c r="C748" s="12" t="str">
        <x:v>Sewer repair</x:v>
      </x:c>
      <x:c r="D748" s="12" t="str">
        <x:v>Multnomah Arts Center</x:v>
      </x:c>
      <x:c r="E748" s="12" t="str">
        <x:v>Repair sewer line at MAC.</x:v>
      </x:c>
      <x:c r="F748" s="21" t="n">
        <x:v>26441</x:v>
      </x:c>
      <x:c r="G748" s="7" t="str">
        <x:v>Buildings / building systems</x:v>
      </x:c>
      <x:c r="H748" s="7" t="str">
        <x:v>KGW November 2023 report; estimate dates not supplied</x:v>
      </x:c>
      <x:c r="I748" s="7" t="str">
        <x:v>https://flo.uri.sh/visualisation/15494950/embed</x:v>
      </x:c>
    </x:row>
    <x:row r="749" ht="46" customHeight="1">
      <x:c r="A749" s="8" t="n">
        <x:v>745</x:v>
      </x:c>
      <x:c r="B749" s="11" t="str">
        <x:v>Multnomah Arts Center</x:v>
      </x:c>
      <x:c r="C749" s="11" t="str">
        <x:v>Dance studio and performance space improvements</x:v>
      </x:c>
      <x:c r="D749" s="11" t="str">
        <x:v>Multnomah Arts Center</x:v>
      </x:c>
      <x:c r="E749" s="11" t="str">
        <x:v>Remodel current dance studio into professional rehersal / performance space with new floor, mirrors, theater lighting and board, audience risers, etc</x:v>
      </x:c>
      <x:c r="F749" s="20" t="n">
        <x:v>26317</x:v>
      </x:c>
      <x:c r="G749" s="8" t="str">
        <x:v>Buildings / building systems</x:v>
      </x:c>
      <x:c r="H749" s="8" t="str">
        <x:v>KGW November 2023 report; estimate dates not supplied</x:v>
      </x:c>
      <x:c r="I749" s="8" t="str">
        <x:v>https://flo.uri.sh/visualisation/15494950/embed</x:v>
      </x:c>
    </x:row>
    <x:row r="750" ht="46" customHeight="1">
      <x:c r="A750" s="7" t="n">
        <x:v>746</x:v>
      </x:c>
      <x:c r="B750" s="12" t="str">
        <x:v>Multnomah Arts Center</x:v>
      </x:c>
      <x:c r="C750" s="12" t="str">
        <x:v>Multimedia computer lab and technology center</x:v>
      </x:c>
      <x:c r="D750" s="12" t="str">
        <x:v>Multnomah Arts Center</x:v>
      </x:c>
      <x:c r="E750" s="12" t="str">
        <x:v>Remodel existing spaces to provide room for 20 desktop computer stations, 1 teaching station with projector and screen, 10 stations for music technology instruction, etc.</x:v>
      </x:c>
      <x:c r="F750" s="21" t="n">
        <x:v>23221</x:v>
      </x:c>
      <x:c r="G750" s="7" t="str">
        <x:v>Buildings / building systems</x:v>
      </x:c>
      <x:c r="H750" s="7" t="str">
        <x:v>KGW November 2023 report; estimate dates not supplied</x:v>
      </x:c>
      <x:c r="I750" s="7" t="str">
        <x:v>https://flo.uri.sh/visualisation/15494950/embed</x:v>
      </x:c>
    </x:row>
    <x:row r="751" ht="46" customHeight="1">
      <x:c r="A751" s="8" t="n">
        <x:v>747</x:v>
      </x:c>
      <x:c r="B751" s="11" t="str">
        <x:v>Multnomah Arts Center</x:v>
      </x:c>
      <x:c r="C751" s="11" t="str">
        <x:v>Safe Entry Ramp from sideway</x:v>
      </x:c>
      <x:c r="D751" s="11" t="str">
        <x:v>Multnomah Arts Center</x:v>
      </x:c>
      <x:c r="E751" s="11" t="str">
        <x:v>Install an ADA-accessible sidewalk that connects the existing sidewalk on SW 31st Avenue up the curved driveway to the existing sidewalk near the rear entrance of the senior center in the Multnomah arts center.</x:v>
      </x:c>
      <x:c r="F751" s="20" t="n">
        <x:v>17990</x:v>
      </x:c>
      <x:c r="G751" s="8" t="str">
        <x:v>Buildings / building systems</x:v>
      </x:c>
      <x:c r="H751" s="8" t="str">
        <x:v>KGW November 2023 report; estimate dates not supplied</x:v>
      </x:c>
      <x:c r="I751" s="8" t="str">
        <x:v>https://flo.uri.sh/visualisation/15494950/embed</x:v>
      </x:c>
    </x:row>
    <x:row r="752" ht="46" customHeight="1">
      <x:c r="A752" s="7" t="n">
        <x:v>748</x:v>
      </x:c>
      <x:c r="B752" s="12" t="str">
        <x:v>Multnomah Arts Center</x:v>
      </x:c>
      <x:c r="C752" s="12" t="str">
        <x:v>Replace the deteriorating carpet</x:v>
      </x:c>
      <x:c r="D752" s="12" t="str">
        <x:v>Multnomah Arts Center</x:v>
      </x:c>
      <x:c r="E752" s="12" t="str">
        <x:v>The carpet in Senior Center Lobby in end of life cycle and there is hole and tearing in some places. The hole is currently covered by duct tape</x:v>
      </x:c>
      <x:c r="F752" s="21" t="n">
        <x:v>17990</x:v>
      </x:c>
      <x:c r="G752" s="7" t="str">
        <x:v>Buildings / building systems</x:v>
      </x:c>
      <x:c r="H752" s="7" t="str">
        <x:v>KGW November 2023 report; estimate dates not supplied</x:v>
      </x:c>
      <x:c r="I752" s="7" t="str">
        <x:v>https://flo.uri.sh/visualisation/15494950/embed</x:v>
      </x:c>
    </x:row>
    <x:row r="753" ht="46" customHeight="1">
      <x:c r="A753" s="8" t="n">
        <x:v>749</x:v>
      </x:c>
      <x:c r="B753" s="11" t="str">
        <x:v>Multnomah Arts Center</x:v>
      </x:c>
      <x:c r="C753" s="11" t="str">
        <x:v>Playground renovation</x:v>
      </x:c>
      <x:c r="D753" s="11" t="str">
        <x:v>Play Area A</x:v>
      </x:c>
      <x:c r="E753" s="11" t="str">
        <x:v>Renovation or repair playground that was rated as 4
 during playground assessment in 2020</x:v>
      </x:c>
      <x:c r="F753" s="20" t="n">
        <x:v>137052</x:v>
      </x:c>
      <x:c r="G753" s="8" t="str">
        <x:v>Fields / courts / play</x:v>
      </x:c>
      <x:c r="H753" s="8" t="str">
        <x:v>KGW November 2023 report; estimate dates not supplied</x:v>
      </x:c>
      <x:c r="I753" s="8" t="str">
        <x:v>https://flo.uri.sh/visualisation/15494950/embed</x:v>
      </x:c>
    </x:row>
    <x:row r="754" ht="46" customHeight="1">
      <x:c r="A754" s="7" t="n">
        <x:v>750</x:v>
      </x:c>
      <x:c r="B754" s="12" t="str">
        <x:v>Multnomah Arts Center</x:v>
      </x:c>
      <x:c r="C754" s="12" t="str">
        <x:v>Water system evalution</x:v>
      </x:c>
      <x:c r="D754" s="12" t="str">
        <x:v>Community center</x:v>
      </x:c>
      <x:c r="E754" s="12" t="str">
        <x:v>Water system is deteriorating and need evaluation to determine the needed scope of work. The evaluation needs to include HVAC and potable water pipes</x:v>
      </x:c>
      <x:c r="F754" s="21" t="n">
        <x:v>10200</x:v>
      </x:c>
      <x:c r="G754" s="7" t="str">
        <x:v>Buildings / building systems</x:v>
      </x:c>
      <x:c r="H754" s="7" t="str">
        <x:v>KGW November 2023 report; estimate dates not supplied</x:v>
      </x:c>
      <x:c r="I754" s="7" t="str">
        <x:v>https://flo.uri.sh/visualisation/15494950/embed</x:v>
      </x:c>
    </x:row>
    <x:row r="755" ht="46" customHeight="1">
      <x:c r="A755" s="8" t="n">
        <x:v>751</x:v>
      </x:c>
      <x:c r="B755" s="11" t="str">
        <x:v>Multnomah Arts Center</x:v>
      </x:c>
      <x:c r="C755" s="11" t="str">
        <x:v>Replace Backflow preventer device</x:v>
      </x:c>
      <x:c r="D755" s="11" t="str">
        <x:v>Property</x:v>
      </x:c>
      <x:c r="E755" s="11" t="str">
        <x:v>- Replace out of compliance backflow preventer
- Premises Isolation (PI): 3" Reduced Pressure (RB)+ Enclosure.
- Move to property line, if needed</x:v>
      </x:c>
      <x:c r="F755" s="20" t="n">
        <x:v>10000</x:v>
      </x:c>
      <x:c r="G755" s="8" t="str">
        <x:v>Utilities / lighting / drainage</x:v>
      </x:c>
      <x:c r="H755" s="8" t="str">
        <x:v>KGW November 2023 report; estimate dates not supplied</x:v>
      </x:c>
      <x:c r="I755" s="8" t="str">
        <x:v>https://flo.uri.sh/visualisation/15494950/embed</x:v>
      </x:c>
    </x:row>
    <x:row r="756" ht="46" customHeight="1">
      <x:c r="A756" s="7" t="n">
        <x:v>752</x:v>
      </x:c>
      <x:c r="B756" s="12" t="str">
        <x:v>N Swan Island Boat Ramp</x:v>
      </x:c>
      <x:c r="C756" s="12" t="str">
        <x:v>Renovate parking lot_Parking Area A</x:v>
      </x:c>
      <x:c r="D756" s="12" t="str">
        <x:v>Parking Area A</x:v>
      </x:c>
      <x:c r="E756" s="12" t="str">
        <x:v>Repair parking lot that was rated 4 in condition assessment. Repair include surface, drainage and curb. approx area= 56758 sq.ft</x:v>
      </x:c>
      <x:c r="F756" s="21" t="n">
        <x:v>927987</x:v>
      </x:c>
      <x:c r="G756" s="7" t="str">
        <x:v>Utilities / lighting / drainage</x:v>
      </x:c>
      <x:c r="H756" s="7" t="str">
        <x:v>KGW November 2023 report; estimate dates not supplied</x:v>
      </x:c>
      <x:c r="I756" s="7" t="str">
        <x:v>https://flo.uri.sh/visualisation/15494950/embed</x:v>
      </x:c>
    </x:row>
    <x:row r="757" ht="46" customHeight="1">
      <x:c r="A757" s="8" t="n">
        <x:v>753</x:v>
      </x:c>
      <x:c r="B757" s="11" t="str">
        <x:v>N Swan Island Boat Ramp</x:v>
      </x:c>
      <x:c r="C757" s="11" t="str">
        <x:v>River Access: Watercraft/Dock Access</x:v>
      </x:c>
      <x:c r="D757" s="11" t="str"/>
      <x:c r="E757" s="11" t="str">
        <x:v>River Access: Watercraft/Dock Access Repairs and New</x:v>
      </x:c>
      <x:c r="F757" s="20" t="n">
        <x:v>3182043</x:v>
      </x:c>
      <x:c r="G757" s="8" t="str">
        <x:v>Utilities / lighting / drainage</x:v>
      </x:c>
      <x:c r="H757" s="8" t="str">
        <x:v>KGW November 2023 report; estimate dates not supplied</x:v>
      </x:c>
      <x:c r="I757" s="8" t="str">
        <x:v>https://flo.uri.sh/visualisation/15494950/embed</x:v>
      </x:c>
    </x:row>
    <x:row r="758" ht="46" customHeight="1">
      <x:c r="A758" s="7" t="n">
        <x:v>754</x:v>
      </x:c>
      <x:c r="B758" s="12" t="str">
        <x:v>N Swan Island Boat Ramp</x:v>
      </x:c>
      <x:c r="C758" s="12" t="str">
        <x:v>Pathway Renovation</x:v>
      </x:c>
      <x:c r="D758" s="12" t="str">
        <x:v>N Swan Island Boat Ramp</x:v>
      </x:c>
      <x:c r="E758" s="12" t="str">
        <x:v>Replace the damaged pathway, trails and sidewalks that have been rated as 4 and 5 in Pathway assessment</x:v>
      </x:c>
      <x:c r="F758" s="21" t="n">
        <x:v>106553</x:v>
      </x:c>
      <x:c r="G758" s="7" t="str">
        <x:v>Paths / access / bridges</x:v>
      </x:c>
      <x:c r="H758" s="7" t="str">
        <x:v>KGW November 2023 report; estimate dates not supplied</x:v>
      </x:c>
      <x:c r="I758" s="7" t="str">
        <x:v>https://flo.uri.sh/visualisation/15494950/embed</x:v>
      </x:c>
    </x:row>
    <x:row r="759" ht="46" customHeight="1">
      <x:c r="A759" s="8" t="n">
        <x:v>755</x:v>
      </x:c>
      <x:c r="B759" s="11" t="str">
        <x:v>Normandale Park</x:v>
      </x:c>
      <x:c r="C759" s="11" t="str">
        <x:v>Pathway Renovation</x:v>
      </x:c>
      <x:c r="D759" s="11" t="str">
        <x:v>Internal Pathway/ Sidewalk</x:v>
      </x:c>
      <x:c r="E759" s="11" t="str">
        <x:v>Replace the damaged pathway, trails and sidewalks that have been rated as 4 and 5 in Pathway assessment</x:v>
      </x:c>
      <x:c r="F759" s="20" t="n">
        <x:v>73868</x:v>
      </x:c>
      <x:c r="G759" s="8" t="str">
        <x:v>Paths / access / bridges</x:v>
      </x:c>
      <x:c r="H759" s="8" t="str">
        <x:v>KGW November 2023 report; estimate dates not supplied</x:v>
      </x:c>
      <x:c r="I759" s="8" t="str">
        <x:v>https://flo.uri.sh/visualisation/15494950/embed</x:v>
      </x:c>
    </x:row>
    <x:row r="760" ht="46" customHeight="1">
      <x:c r="A760" s="7" t="n">
        <x:v>756</x:v>
      </x:c>
      <x:c r="B760" s="12" t="str">
        <x:v>Normandale Park</x:v>
      </x:c>
      <x:c r="C760" s="12" t="str">
        <x:v>Renovate the Structure of Shelter - Restroom - Storage building</x:v>
      </x:c>
      <x:c r="D760" s="12" t="str">
        <x:v>Restroom A</x:v>
      </x:c>
      <x:c r="E760" s="12" t="str">
        <x:v>Fix or replace the Structure that is rated 4 through buildings' assessment</x:v>
      </x:c>
      <x:c r="F760" s="21" t="n">
        <x:v>557466</x:v>
      </x:c>
      <x:c r="G760" s="7" t="str">
        <x:v>Buildings / building systems</x:v>
      </x:c>
      <x:c r="H760" s="7" t="str">
        <x:v>KGW November 2023 report; estimate dates not supplied</x:v>
      </x:c>
      <x:c r="I760" s="7" t="str">
        <x:v>https://flo.uri.sh/visualisation/15494950/embed</x:v>
      </x:c>
    </x:row>
    <x:row r="761" ht="46" customHeight="1">
      <x:c r="A761" s="8" t="n">
        <x:v>757</x:v>
      </x:c>
      <x:c r="B761" s="11" t="str">
        <x:v>Normandale Park</x:v>
      </x:c>
      <x:c r="C761" s="11" t="str">
        <x:v>Building renovation</x:v>
      </x:c>
      <x:c r="D761" s="11" t="str">
        <x:v>Erv Lind Stadium</x:v>
      </x:c>
      <x:c r="E761" s="11" t="str">
        <x:v>Renovate uilding rated 4 or 5 in condition assessment</x:v>
      </x:c>
      <x:c r="F761" s="20" t="n">
        <x:v>526965</x:v>
      </x:c>
      <x:c r="G761" s="8" t="str">
        <x:v>Buildings / building systems</x:v>
      </x:c>
      <x:c r="H761" s="8" t="str">
        <x:v>KGW November 2023 report; estimate dates not supplied</x:v>
      </x:c>
      <x:c r="I761" s="8" t="str">
        <x:v>https://flo.uri.sh/visualisation/15494950/embed</x:v>
      </x:c>
    </x:row>
    <x:row r="762" ht="46" customHeight="1">
      <x:c r="A762" s="7" t="n">
        <x:v>758</x:v>
      </x:c>
      <x:c r="B762" s="12" t="str">
        <x:v>Normandale Park</x:v>
      </x:c>
      <x:c r="C762" s="12" t="str">
        <x:v>Renovate Basketball sport court at Normandale Park</x:v>
      </x:c>
      <x:c r="D762" s="12" t="str">
        <x:v>Basketball Court</x:v>
      </x:c>
      <x:c r="E762" s="12" t="str">
        <x:v>Fix or replace the Cement surface of the court that is rated 4 through courts' assessment</x:v>
      </x:c>
      <x:c r="F762" s="21" t="n">
        <x:v>49998</x:v>
      </x:c>
      <x:c r="G762" s="7" t="str">
        <x:v>Fields / courts / play</x:v>
      </x:c>
      <x:c r="H762" s="7" t="str">
        <x:v>KGW November 2023 report; estimate dates not supplied</x:v>
      </x:c>
      <x:c r="I762" s="7" t="str">
        <x:v>https://flo.uri.sh/visualisation/15494950/embed</x:v>
      </x:c>
    </x:row>
    <x:row r="763" ht="46" customHeight="1">
      <x:c r="A763" s="8" t="n">
        <x:v>759</x:v>
      </x:c>
      <x:c r="B763" s="11" t="str">
        <x:v>Normandale Park</x:v>
      </x:c>
      <x:c r="C763" s="11" t="str">
        <x:v>Renovate parking lot_Parking Area A</x:v>
      </x:c>
      <x:c r="D763" s="11" t="str">
        <x:v>Parking Area A</x:v>
      </x:c>
      <x:c r="E763" s="11" t="str">
        <x:v>Repair parking lot that was rated 5 in condition assessment. Repair include surface, drainage and curb. approx area= 7116 sq.ft</x:v>
      </x:c>
      <x:c r="F763" s="20" t="n">
        <x:v>40344</x:v>
      </x:c>
      <x:c r="G763" s="8" t="str">
        <x:v>Utilities / lighting / drainage</x:v>
      </x:c>
      <x:c r="H763" s="8" t="str">
        <x:v>KGW November 2023 report; estimate dates not supplied</x:v>
      </x:c>
      <x:c r="I763" s="8" t="str">
        <x:v>https://flo.uri.sh/visualisation/15494950/embed</x:v>
      </x:c>
    </x:row>
    <x:row r="764" ht="46" customHeight="1">
      <x:c r="A764" s="7" t="n">
        <x:v>760</x:v>
      </x:c>
      <x:c r="B764" s="12" t="str">
        <x:v>Normandale Park</x:v>
      </x:c>
      <x:c r="C764" s="12" t="str">
        <x:v>Playground renovation</x:v>
      </x:c>
      <x:c r="D764" s="12" t="str">
        <x:v>Play Area A</x:v>
      </x:c>
      <x:c r="E764" s="12" t="str">
        <x:v>Renovation or repair playground that was rated as 4
 during playground assessment in 2020</x:v>
      </x:c>
      <x:c r="F764" s="21" t="n">
        <x:v>353532</x:v>
      </x:c>
      <x:c r="G764" s="7" t="str">
        <x:v>Fields / courts / play</x:v>
      </x:c>
      <x:c r="H764" s="7" t="str">
        <x:v>KGW November 2023 report; estimate dates not supplied</x:v>
      </x:c>
      <x:c r="I764" s="7" t="str">
        <x:v>https://flo.uri.sh/visualisation/15494950/embed</x:v>
      </x:c>
    </x:row>
    <x:row r="765" ht="46" customHeight="1">
      <x:c r="A765" s="8" t="n">
        <x:v>761</x:v>
      </x:c>
      <x:c r="B765" s="11" t="str">
        <x:v>Normandale Park</x:v>
      </x:c>
      <x:c r="C765" s="11" t="str">
        <x:v>ESPC-III_Buildings Lighting to LEDs</x:v>
      </x:c>
      <x:c r="D765" s="11" t="str">
        <x:v>Stadium</x:v>
      </x:c>
      <x:c r="E765" s="11" t="str">
        <x:v>LED conversion for Exterior and Interior Lights</x:v>
      </x:c>
      <x:c r="F765" s="20" t="n">
        <x:v>11760</x:v>
      </x:c>
      <x:c r="G765" s="8" t="str">
        <x:v>Buildings / building systems</x:v>
      </x:c>
      <x:c r="H765" s="8" t="str">
        <x:v>KGW November 2023 report; estimate dates not supplied</x:v>
      </x:c>
      <x:c r="I765" s="8" t="str">
        <x:v>https://flo.uri.sh/visualisation/15494950/embed</x:v>
      </x:c>
    </x:row>
    <x:row r="766" ht="46" customHeight="1">
      <x:c r="A766" s="7" t="n">
        <x:v>762</x:v>
      </x:c>
      <x:c r="B766" s="12" t="str">
        <x:v>Normandale Park</x:v>
      </x:c>
      <x:c r="C766" s="12" t="str">
        <x:v>ESPC-III_Buildings Lighting to LEDs</x:v>
      </x:c>
      <x:c r="D766" s="12" t="str">
        <x:v>Shelter - Restroom - Storage</x:v>
      </x:c>
      <x:c r="E766" s="12" t="str">
        <x:v>LED conversion for Exterior and Interior Lights</x:v>
      </x:c>
      <x:c r="F766" s="21" t="n">
        <x:v>11760</x:v>
      </x:c>
      <x:c r="G766" s="7" t="str">
        <x:v>Buildings / building systems</x:v>
      </x:c>
      <x:c r="H766" s="7" t="str">
        <x:v>KGW November 2023 report; estimate dates not supplied</x:v>
      </x:c>
      <x:c r="I766" s="7" t="str">
        <x:v>https://flo.uri.sh/visualisation/15494950/embed</x:v>
      </x:c>
    </x:row>
    <x:row r="767" ht="46" customHeight="1">
      <x:c r="A767" s="8" t="n">
        <x:v>763</x:v>
      </x:c>
      <x:c r="B767" s="11" t="str">
        <x:v>Normandale Park</x:v>
      </x:c>
      <x:c r="C767" s="11" t="str">
        <x:v>Dog Off Leash Area renovation</x:v>
      </x:c>
      <x:c r="D767" s="11" t="str">
        <x:v>Dog Off Leash Area</x:v>
      </x:c>
      <x:c r="E767" s="11" t="str">
        <x:v>Repair drainage issue, maintain turf, and other renovation to sustain the area</x:v>
      </x:c>
      <x:c r="F767" s="20" t="n">
        <x:v>102000</x:v>
      </x:c>
      <x:c r="G767" s="8" t="str">
        <x:v>Utilities / lighting / drainage</x:v>
      </x:c>
      <x:c r="H767" s="8" t="str">
        <x:v>KGW November 2023 report; estimate dates not supplied</x:v>
      </x:c>
      <x:c r="I767" s="8" t="str">
        <x:v>https://flo.uri.sh/visualisation/15494950/embed</x:v>
      </x:c>
    </x:row>
    <x:row r="768" ht="46" customHeight="1">
      <x:c r="A768" s="7" t="n">
        <x:v>764</x:v>
      </x:c>
      <x:c r="B768" s="12" t="str">
        <x:v>Normandale Park</x:v>
      </x:c>
      <x:c r="C768" s="12" t="str">
        <x:v>Replace Backflow preventer device</x:v>
      </x:c>
      <x:c r="D768" s="12" t="str">
        <x:v>Proprty- Halsey st.</x:v>
      </x:c>
      <x:c r="E768" s="12" t="str">
        <x:v>- Replace out of compliance backflow preventer
- Assembly: Double Check Valve Assembly (DCVA)
- Premises Isolation (PI): 3" Reduced Pressure (RP) + Enclosure. Serial # 00944
- Move to property line, if needed
- Hazard: Right of Way (ROW)</x:v>
      </x:c>
      <x:c r="F768" s="21" t="n">
        <x:v>10000</x:v>
      </x:c>
      <x:c r="G768" s="7" t="str">
        <x:v>Utilities / lighting / drainage</x:v>
      </x:c>
      <x:c r="H768" s="7" t="str">
        <x:v>KGW November 2023 report; estimate dates not supplied</x:v>
      </x:c>
      <x:c r="I768" s="7" t="str">
        <x:v>https://flo.uri.sh/visualisation/15494950/embed</x:v>
      </x:c>
    </x:row>
    <x:row r="769" ht="46" customHeight="1">
      <x:c r="A769" s="8" t="n">
        <x:v>765</x:v>
      </x:c>
      <x:c r="B769" s="11" t="str">
        <x:v>North Park Blocks</x:v>
      </x:c>
      <x:c r="C769" s="11" t="str">
        <x:v>Pathway Renovation</x:v>
      </x:c>
      <x:c r="D769" s="11" t="str">
        <x:v>North Park Blocks</x:v>
      </x:c>
      <x:c r="E769" s="11" t="str">
        <x:v>Replace the damaged pathway, trails and sidewalks that have been rated as 4 and 5 in Pathway assessment</x:v>
      </x:c>
      <x:c r="F769" s="20" t="n">
        <x:v>336907</x:v>
      </x:c>
      <x:c r="G769" s="8" t="str">
        <x:v>Paths / access / bridges</x:v>
      </x:c>
      <x:c r="H769" s="8" t="str">
        <x:v>KGW November 2023 report; estimate dates not supplied</x:v>
      </x:c>
      <x:c r="I769" s="8" t="str">
        <x:v>https://flo.uri.sh/visualisation/15494950/embed</x:v>
      </x:c>
    </x:row>
    <x:row r="770" ht="46" customHeight="1">
      <x:c r="A770" s="7" t="n">
        <x:v>766</x:v>
      </x:c>
      <x:c r="B770" s="12" t="str">
        <x:v>North Park Blocks</x:v>
      </x:c>
      <x:c r="C770" s="12" t="str">
        <x:v>Roof Replacement</x:v>
      </x:c>
      <x:c r="D770" s="12" t="str"/>
      <x:c r="E770" s="12" t="str">
        <x:v>Roof in Bad condition and rated as bad through condition aseesment</x:v>
      </x:c>
      <x:c r="F770" s="21" t="n">
        <x:v>23987</x:v>
      </x:c>
      <x:c r="G770" s="7" t="str">
        <x:v>Buildings / building systems</x:v>
      </x:c>
      <x:c r="H770" s="7" t="str">
        <x:v>KGW November 2023 report; estimate dates not supplied</x:v>
      </x:c>
      <x:c r="I770" s="7" t="str">
        <x:v>https://flo.uri.sh/visualisation/15494950/embed</x:v>
      </x:c>
    </x:row>
    <x:row r="771" ht="46" customHeight="1">
      <x:c r="A771" s="8" t="n">
        <x:v>767</x:v>
      </x:c>
      <x:c r="B771" s="11" t="str">
        <x:v>North Park Blocks</x:v>
      </x:c>
      <x:c r="C771" s="11" t="str">
        <x:v>ESPC-III_Buildings Lighting to LEDs</x:v>
      </x:c>
      <x:c r="D771" s="11" t="str">
        <x:v>Restroom</x:v>
      </x:c>
      <x:c r="E771" s="11" t="str">
        <x:v>LED conversion for Exterior and Interior Lights</x:v>
      </x:c>
      <x:c r="F771" s="20" t="n">
        <x:v>11760</x:v>
      </x:c>
      <x:c r="G771" s="8" t="str">
        <x:v>Buildings / building systems</x:v>
      </x:c>
      <x:c r="H771" s="8" t="str">
        <x:v>KGW November 2023 report; estimate dates not supplied</x:v>
      </x:c>
      <x:c r="I771" s="8" t="str">
        <x:v>https://flo.uri.sh/visualisation/15494950/embed</x:v>
      </x:c>
    </x:row>
    <x:row r="772" ht="46" customHeight="1">
      <x:c r="A772" s="7" t="n">
        <x:v>768</x:v>
      </x:c>
      <x:c r="B772" s="12" t="str">
        <x:v>North Park Blocks</x:v>
      </x:c>
      <x:c r="C772" s="12" t="str">
        <x:v>Replace Backflow preventer device</x:v>
      </x:c>
      <x:c r="D772" s="12" t="str">
        <x:v>Property</x:v>
      </x:c>
      <x:c r="E772" s="12" t="str">
        <x:v>- Replace out of compliance backflow preventers
- Assembly: Double Check Valve Assembly (DCVA) and Reduced Pressure Backflow Assembly (RPBA)
- Move to property line, if needed
- Hazard: ROW
- See components for detail</x:v>
      </x:c>
      <x:c r="F772" s="21" t="n">
        <x:v>10000</x:v>
      </x:c>
      <x:c r="G772" s="7" t="str">
        <x:v>Utilities / lighting / drainage</x:v>
      </x:c>
      <x:c r="H772" s="7" t="str">
        <x:v>KGW November 2023 report; estimate dates not supplied</x:v>
      </x:c>
      <x:c r="I772" s="7" t="str">
        <x:v>https://flo.uri.sh/visualisation/15494950/embed</x:v>
      </x:c>
    </x:row>
    <x:row r="773" ht="46" customHeight="1">
      <x:c r="A773" s="8" t="n">
        <x:v>769</x:v>
      </x:c>
      <x:c r="B773" s="11" t="str">
        <x:v>Northgate Park</x:v>
      </x:c>
      <x:c r="C773" s="11" t="str">
        <x:v>Renovate Tennis court</x:v>
      </x:c>
      <x:c r="D773" s="11" t="str">
        <x:v>court</x:v>
      </x:c>
      <x:c r="E773" s="11" t="str">
        <x:v>Renovate tennis court surface as it is rated as 5 in court assessment</x:v>
      </x:c>
      <x:c r="F773" s="20" t="n">
        <x:v>588024</x:v>
      </x:c>
      <x:c r="G773" s="8" t="str">
        <x:v>Fields / courts / play</x:v>
      </x:c>
      <x:c r="H773" s="8" t="str">
        <x:v>KGW November 2023 report; estimate dates not supplied</x:v>
      </x:c>
      <x:c r="I773" s="8" t="str">
        <x:v>https://flo.uri.sh/visualisation/15494950/embed</x:v>
      </x:c>
    </x:row>
    <x:row r="774" ht="46" customHeight="1">
      <x:c r="A774" s="7" t="n">
        <x:v>770</x:v>
      </x:c>
      <x:c r="B774" s="12" t="str">
        <x:v>Northgate Park</x:v>
      </x:c>
      <x:c r="C774" s="12" t="str">
        <x:v>Northgate Park - 2 soccer fields   Renovate Existi</x:v>
      </x:c>
      <x:c r="D774" s="12" t="str">
        <x:v>Northgate Park</x:v>
      </x:c>
      <x:c r="E774" s="12" t="str">
        <x:v>PP&amp;R sports fields are in varying conditions.  Significant improvements have been made but still needs irrigation booster pump, improved goals, etc.</x:v>
      </x:c>
      <x:c r="F774" s="21" t="n">
        <x:v>4436782</x:v>
      </x:c>
      <x:c r="G774" s="7" t="str">
        <x:v>Fields / courts / play</x:v>
      </x:c>
      <x:c r="H774" s="7" t="str">
        <x:v>KGW November 2023 report; estimate dates not supplied</x:v>
      </x:c>
      <x:c r="I774" s="7" t="str">
        <x:v>https://flo.uri.sh/visualisation/15494950/embed</x:v>
      </x:c>
    </x:row>
    <x:row r="775" ht="46" customHeight="1">
      <x:c r="A775" s="8" t="n">
        <x:v>771</x:v>
      </x:c>
      <x:c r="B775" s="11" t="str">
        <x:v>Northgate Park</x:v>
      </x:c>
      <x:c r="C775" s="11" t="str">
        <x:v>Renovate sport field</x:v>
      </x:c>
      <x:c r="D775" s="11" t="str">
        <x:v>Ball Field 2</x:v>
      </x:c>
      <x:c r="E775" s="11" t="str">
        <x:v>Sport fields rated 4 or 5 in condition assessment</x:v>
      </x:c>
      <x:c r="F775" s="20" t="n">
        <x:v>376227</x:v>
      </x:c>
      <x:c r="G775" s="8" t="str">
        <x:v>Fields / courts / play</x:v>
      </x:c>
      <x:c r="H775" s="8" t="str">
        <x:v>KGW November 2023 report; estimate dates not supplied</x:v>
      </x:c>
      <x:c r="I775" s="8" t="str">
        <x:v>https://flo.uri.sh/visualisation/15494950/embed</x:v>
      </x:c>
    </x:row>
    <x:row r="776" ht="46" customHeight="1">
      <x:c r="A776" s="7" t="n">
        <x:v>772</x:v>
      </x:c>
      <x:c r="B776" s="12" t="str">
        <x:v>Northgate Park</x:v>
      </x:c>
      <x:c r="C776" s="12" t="str">
        <x:v>Pathway Renovation</x:v>
      </x:c>
      <x:c r="D776" s="12" t="str">
        <x:v>Northgate Park</x:v>
      </x:c>
      <x:c r="E776" s="12" t="str">
        <x:v>Replace the damaged pathway, trails and sidewalks that have been rated as 4 and 5 in Pathway assessment</x:v>
      </x:c>
      <x:c r="F776" s="21" t="n">
        <x:v>164647</x:v>
      </x:c>
      <x:c r="G776" s="7" t="str">
        <x:v>Paths / access / bridges</x:v>
      </x:c>
      <x:c r="H776" s="7" t="str">
        <x:v>KGW November 2023 report; estimate dates not supplied</x:v>
      </x:c>
      <x:c r="I776" s="7" t="str">
        <x:v>https://flo.uri.sh/visualisation/15494950/embed</x:v>
      </x:c>
    </x:row>
    <x:row r="777" ht="46" customHeight="1">
      <x:c r="A777" s="8" t="n">
        <x:v>773</x:v>
      </x:c>
      <x:c r="B777" s="11" t="str">
        <x:v>Northgate Park</x:v>
      </x:c>
      <x:c r="C777" s="11" t="str">
        <x:v>Restroom Upgrades</x:v>
      </x:c>
      <x:c r="D777" s="11" t="str">
        <x:v>Northgate Park</x:v>
      </x:c>
      <x:c r="E777" s="11" t="str">
        <x:v>Repair restroom at Northgate Park.  Repair roof, doors, tile.  Replaces CIP 2286, projects were split out.</x:v>
      </x:c>
      <x:c r="F777" s="20" t="n">
        <x:v>16332</x:v>
      </x:c>
      <x:c r="G777" s="8" t="str">
        <x:v>Buildings / building systems</x:v>
      </x:c>
      <x:c r="H777" s="8" t="str">
        <x:v>KGW November 2023 report; estimate dates not supplied</x:v>
      </x:c>
      <x:c r="I777" s="8" t="str">
        <x:v>https://flo.uri.sh/visualisation/15494950/embed</x:v>
      </x:c>
    </x:row>
    <x:row r="778" ht="46" customHeight="1">
      <x:c r="A778" s="7" t="n">
        <x:v>774</x:v>
      </x:c>
      <x:c r="B778" s="12" t="str">
        <x:v>Northgate Park</x:v>
      </x:c>
      <x:c r="C778" s="12" t="str">
        <x:v>ESPC-III_Buildings Lighting to LEDs</x:v>
      </x:c>
      <x:c r="D778" s="12" t="str">
        <x:v>Restroom - Storage</x:v>
      </x:c>
      <x:c r="E778" s="12" t="str">
        <x:v>LED conversion for Exterior and Interior Lights</x:v>
      </x:c>
      <x:c r="F778" s="21" t="n">
        <x:v>11760</x:v>
      </x:c>
      <x:c r="G778" s="7" t="str">
        <x:v>Buildings / building systems</x:v>
      </x:c>
      <x:c r="H778" s="7" t="str">
        <x:v>KGW November 2023 report; estimate dates not supplied</x:v>
      </x:c>
      <x:c r="I778" s="7" t="str">
        <x:v>https://flo.uri.sh/visualisation/15494950/embed</x:v>
      </x:c>
    </x:row>
    <x:row r="779" ht="46" customHeight="1">
      <x:c r="A779" s="8" t="n">
        <x:v>775</x:v>
      </x:c>
      <x:c r="B779" s="11" t="str">
        <x:v>Oaks Bottom Wildlife Refuge</x:v>
      </x:c>
      <x:c r="C779" s="11" t="str">
        <x:v>Ecological Restoration_ Oaks Bottom Wildlife Refuge</x:v>
      </x:c>
      <x:c r="D779" s="11" t="str"/>
      <x:c r="E779" s="11" t="str">
        <x:v>Placholder for Ecological health restoration
Part of (Oaks Bottom Wildlife Refuge-Includes Sellwood River Front) project</x:v>
      </x:c>
      <x:c r="F779" s="20" t="n">
        <x:v>73503</x:v>
      </x:c>
      <x:c r="G779" s="8" t="str">
        <x:v>Other site infrastructure</x:v>
      </x:c>
      <x:c r="H779" s="8" t="str">
        <x:v>KGW November 2023 report; estimate dates not supplied</x:v>
      </x:c>
      <x:c r="I779" s="8" t="str">
        <x:v>https://flo.uri.sh/visualisation/15494950/embed</x:v>
      </x:c>
    </x:row>
    <x:row r="780" ht="46" customHeight="1">
      <x:c r="A780" s="7" t="n">
        <x:v>776</x:v>
      </x:c>
      <x:c r="B780" s="12" t="str">
        <x:v>Oaks Bottom Wildlife Refuge</x:v>
      </x:c>
      <x:c r="C780" s="12" t="str">
        <x:v>Pathway Renovation</x:v>
      </x:c>
      <x:c r="D780" s="12" t="str">
        <x:v>Oaks Bottom Wildlife Refuge</x:v>
      </x:c>
      <x:c r="E780" s="12" t="str">
        <x:v>Replace the damaged pathway, trails and sidewalks that have been rated as 4 and 5 in Pathway assessment</x:v>
      </x:c>
      <x:c r="F780" s="21" t="n">
        <x:v>148096</x:v>
      </x:c>
      <x:c r="G780" s="7" t="str">
        <x:v>Paths / access / bridges</x:v>
      </x:c>
      <x:c r="H780" s="7" t="str">
        <x:v>KGW November 2023 report; estimate dates not supplied</x:v>
      </x:c>
      <x:c r="I780" s="7" t="str">
        <x:v>https://flo.uri.sh/visualisation/15494950/embed</x:v>
      </x:c>
    </x:row>
    <x:row r="781" ht="46" customHeight="1">
      <x:c r="A781" s="8" t="n">
        <x:v>777</x:v>
      </x:c>
      <x:c r="B781" s="11" t="str">
        <x:v>Oaks Bottom Wildlife Refuge</x:v>
      </x:c>
      <x:c r="C781" s="11" t="str">
        <x:v>Pave pathway patch</x:v>
      </x:c>
      <x:c r="D781" s="11" t="str">
        <x:v>Pathway</x:v>
      </x:c>
      <x:c r="E781" s="11" t="str">
        <x:v>At the north trail head parking lot of Oaks Bottom there is a 25' x 30' patch of gravel that all trail users must walk/bike over.  It is a safety hazard and needs to be paved so that the pavement of the parking lot, the trail entrance area and the trail itself are contiguous</x:v>
      </x:c>
      <x:c r="F781" s="20" t="n">
        <x:v>11571</x:v>
      </x:c>
      <x:c r="G781" s="8" t="str">
        <x:v>Paths / access / bridges</x:v>
      </x:c>
      <x:c r="H781" s="8" t="str">
        <x:v>KGW November 2023 report; estimate dates not supplied</x:v>
      </x:c>
      <x:c r="I781" s="8" t="str">
        <x:v>https://flo.uri.sh/visualisation/15494950/embed</x:v>
      </x:c>
    </x:row>
    <x:row r="782" ht="46" customHeight="1">
      <x:c r="A782" s="7" t="n">
        <x:v>778</x:v>
      </x:c>
      <x:c r="B782" s="12" t="str">
        <x:v>Oaks Crossing</x:v>
      </x:c>
      <x:c r="C782" s="12" t="str">
        <x:v>Ecological Restoration_ Oaks Crossing</x:v>
      </x:c>
      <x:c r="D782" s="12" t="str"/>
      <x:c r="E782" s="12" t="str">
        <x:v>Placholder for Ecological health restoration
Part of (Oaks Crossing. And Ross &amp; Toe Islands) project</x:v>
      </x:c>
      <x:c r="F782" s="21" t="n">
        <x:v>49041</x:v>
      </x:c>
      <x:c r="G782" s="7" t="str">
        <x:v>Other site infrastructure</x:v>
      </x:c>
      <x:c r="H782" s="7" t="str">
        <x:v>KGW November 2023 report; estimate dates not supplied</x:v>
      </x:c>
      <x:c r="I782" s="7" t="str">
        <x:v>https://flo.uri.sh/visualisation/15494950/embed</x:v>
      </x:c>
    </x:row>
    <x:row r="783" ht="46" customHeight="1">
      <x:c r="A783" s="8" t="n">
        <x:v>779</x:v>
      </x:c>
      <x:c r="B783" s="11" t="str">
        <x:v>Oaks Pioneer Church and Park</x:v>
      </x:c>
      <x:c r="C783" s="11" t="str">
        <x:v>Pathway Renovation</x:v>
      </x:c>
      <x:c r="D783" s="11" t="str">
        <x:v>Internal Pathway/ Sidewalk</x:v>
      </x:c>
      <x:c r="E783" s="11" t="str">
        <x:v>Replace the damaged pathway, trails and sidewalks that have been rated as 4 and 5 in Pathway assessment</x:v>
      </x:c>
      <x:c r="F783" s="20" t="n">
        <x:v>79434</x:v>
      </x:c>
      <x:c r="G783" s="8" t="str">
        <x:v>Paths / access / bridges</x:v>
      </x:c>
      <x:c r="H783" s="8" t="str">
        <x:v>KGW November 2023 report; estimate dates not supplied</x:v>
      </x:c>
      <x:c r="I783" s="8" t="str">
        <x:v>https://flo.uri.sh/visualisation/15494950/embed</x:v>
      </x:c>
    </x:row>
    <x:row r="784" ht="46" customHeight="1">
      <x:c r="A784" s="7" t="n">
        <x:v>780</x:v>
      </x:c>
      <x:c r="B784" s="12" t="str">
        <x:v>Oaks Pioneer Church and Park</x:v>
      </x:c>
      <x:c r="C784" s="12" t="str">
        <x:v>Renovate electrical and mechanical equipment</x:v>
      </x:c>
      <x:c r="D784" s="12" t="str"/>
      <x:c r="E784" s="12" t="str">
        <x:v>Electrical and mechanical equipment’s passed 25 year of service and need to replace.</x:v>
      </x:c>
      <x:c r="F784" s="21" t="n">
        <x:v>50000</x:v>
      </x:c>
      <x:c r="G784" s="7" t="str">
        <x:v>Utilities / lighting / drainage</x:v>
      </x:c>
      <x:c r="H784" s="7" t="str">
        <x:v>KGW November 2023 report; estimate dates not supplied</x:v>
      </x:c>
      <x:c r="I784" s="7" t="str">
        <x:v>https://flo.uri.sh/visualisation/15494950/embed</x:v>
      </x:c>
    </x:row>
    <x:row r="785" ht="46" customHeight="1">
      <x:c r="A785" s="8" t="n">
        <x:v>781</x:v>
      </x:c>
      <x:c r="B785" s="11" t="str">
        <x:v>Oliver-Parklane Community Garden</x:v>
      </x:c>
      <x:c r="C785" s="11" t="str">
        <x:v>Deelop 10,000 sq.ft community garden</x:v>
      </x:c>
      <x:c r="D785" s="11" t="str">
        <x:v>Community Gardens</x:v>
      </x:c>
      <x:c r="E785" s="11" t="str">
        <x:v>Develop a 10,000 sq ft community garden on property owned by the Centennial School District. Includes fence, irrigation system, tool shed, ADA raised beds and in ground bed. Funded by grant, general fund and in kind donation from the Water Bureau. 15840 SE Taylor</x:v>
      </x:c>
      <x:c r="F785" s="20" t="n">
        <x:v>108236</x:v>
      </x:c>
      <x:c r="G785" s="8" t="str">
        <x:v>Paths / access / bridges</x:v>
      </x:c>
      <x:c r="H785" s="8" t="str">
        <x:v>KGW November 2023 report; estimate dates not supplied</x:v>
      </x:c>
      <x:c r="I785" s="8" t="str">
        <x:v>https://flo.uri.sh/visualisation/15494950/embed</x:v>
      </x:c>
    </x:row>
    <x:row r="786" ht="46" customHeight="1">
      <x:c r="A786" s="7" t="n">
        <x:v>782</x:v>
      </x:c>
      <x:c r="B786" s="12" t="str">
        <x:v>Oregon Park</x:v>
      </x:c>
      <x:c r="C786" s="12" t="str">
        <x:v>Building renovation</x:v>
      </x:c>
      <x:c r="D786" s="12" t="str">
        <x:v>Restroom A</x:v>
      </x:c>
      <x:c r="E786" s="12" t="str">
        <x:v>Renovate buildings rated 4 or 5 in condition assessment</x:v>
      </x:c>
      <x:c r="F786" s="21" t="n">
        <x:v>56372</x:v>
      </x:c>
      <x:c r="G786" s="7" t="str">
        <x:v>Buildings / building systems</x:v>
      </x:c>
      <x:c r="H786" s="7" t="str">
        <x:v>KGW November 2023 report; estimate dates not supplied</x:v>
      </x:c>
      <x:c r="I786" s="7" t="str">
        <x:v>https://flo.uri.sh/visualisation/15494950/embed</x:v>
      </x:c>
    </x:row>
    <x:row r="787" ht="46" customHeight="1">
      <x:c r="A787" s="8" t="n">
        <x:v>783</x:v>
      </x:c>
      <x:c r="B787" s="11" t="str">
        <x:v>Oregon Park</x:v>
      </x:c>
      <x:c r="C787" s="11" t="str">
        <x:v>ESPC-III_Buildings Lighting to LEDs</x:v>
      </x:c>
      <x:c r="D787" s="11" t="str">
        <x:v>Restroom - Storage</x:v>
      </x:c>
      <x:c r="E787" s="11" t="str">
        <x:v>LED conversion for Exterior and Interior Lights</x:v>
      </x:c>
      <x:c r="F787" s="20" t="n">
        <x:v>11760</x:v>
      </x:c>
      <x:c r="G787" s="8" t="str">
        <x:v>Buildings / building systems</x:v>
      </x:c>
      <x:c r="H787" s="8" t="str">
        <x:v>KGW November 2023 report; estimate dates not supplied</x:v>
      </x:c>
      <x:c r="I787" s="8" t="str">
        <x:v>https://flo.uri.sh/visualisation/15494950/embed</x:v>
      </x:c>
    </x:row>
    <x:row r="788" ht="46" customHeight="1">
      <x:c r="A788" s="7" t="n">
        <x:v>784</x:v>
      </x:c>
      <x:c r="B788" s="12" t="str">
        <x:v>Overlook House Community Center</x:v>
      </x:c>
      <x:c r="C788" s="12" t="str">
        <x:v>Seismic / Structural</x:v>
      </x:c>
      <x:c r="D788" s="12" t="str">
        <x:v>Overlook House Community Center</x:v>
      </x:c>
      <x:c r="E788" s="12" t="str">
        <x:v>Seismic upgrades of unreinforced masonry units</x:v>
      </x:c>
      <x:c r="F788" s="21" t="n">
        <x:v>9288448</x:v>
      </x:c>
      <x:c r="G788" s="7" t="str">
        <x:v>Buildings / building systems</x:v>
      </x:c>
      <x:c r="H788" s="7" t="str">
        <x:v>KGW November 2023 report; estimate dates not supplied</x:v>
      </x:c>
      <x:c r="I788" s="7" t="str">
        <x:v>https://flo.uri.sh/visualisation/15494950/embed</x:v>
      </x:c>
    </x:row>
    <x:row r="789" ht="46" customHeight="1">
      <x:c r="A789" s="8" t="n">
        <x:v>785</x:v>
      </x:c>
      <x:c r="B789" s="11" t="str">
        <x:v>Overlook House Community Center</x:v>
      </x:c>
      <x:c r="C789" s="11" t="str">
        <x:v>Lead/asbestos remediation</x:v>
      </x:c>
      <x:c r="D789" s="11" t="str">
        <x:v>Community Center</x:v>
      </x:c>
      <x:c r="E789" s="11" t="str">
        <x:v>Lead/asbestos remediation</x:v>
      </x:c>
      <x:c r="F789" s="20" t="n">
        <x:v>80997</x:v>
      </x:c>
      <x:c r="G789" s="8" t="str">
        <x:v>Buildings / building systems</x:v>
      </x:c>
      <x:c r="H789" s="8" t="str">
        <x:v>KGW November 2023 report; estimate dates not supplied</x:v>
      </x:c>
      <x:c r="I789" s="8" t="str">
        <x:v>https://flo.uri.sh/visualisation/15494950/embed</x:v>
      </x:c>
    </x:row>
    <x:row r="790" ht="46" customHeight="1">
      <x:c r="A790" s="7" t="n">
        <x:v>786</x:v>
      </x:c>
      <x:c r="B790" s="12" t="str">
        <x:v>Overlook House Community Center</x:v>
      </x:c>
      <x:c r="C790" s="12" t="str">
        <x:v>Exterior damage/repairs</x:v>
      </x:c>
      <x:c r="D790" s="12" t="str">
        <x:v>Community Center</x:v>
      </x:c>
      <x:c r="E790" s="12" t="str">
        <x:v>Original request: Exterior damage/repairs (windows/stucco/siding/other)
WO request: 
- Upstairs windows on the South and West face of the building have significant rot and are difficult/dangerous to open and close. Please review for repair or replacement. Section 4 G of lease agreement
- Upstairs back door to spiral staircase the glass relite gasket has failed allowing moisture to be trapped in the glass. Door has no weather stripping and moisture has been found inside the building during heavy rain events. Section 4 G of the lease agreement</x:v>
      </x:c>
      <x:c r="F790" s="21" t="n">
        <x:v>57855</x:v>
      </x:c>
      <x:c r="G790" s="7" t="str">
        <x:v>Buildings / building systems</x:v>
      </x:c>
      <x:c r="H790" s="7" t="str">
        <x:v>KGW November 2023 report; estimate dates not supplied</x:v>
      </x:c>
      <x:c r="I790" s="7" t="str">
        <x:v>https://flo.uri.sh/visualisation/15494950/embed</x:v>
      </x:c>
    </x:row>
    <x:row r="791" ht="46" customHeight="1">
      <x:c r="A791" s="8" t="n">
        <x:v>787</x:v>
      </x:c>
      <x:c r="B791" s="11" t="str">
        <x:v>Overlook House Community Center</x:v>
      </x:c>
      <x:c r="C791" s="11" t="str">
        <x:v>Basement water intrusion</x:v>
      </x:c>
      <x:c r="D791" s="11" t="str">
        <x:v>Community Center</x:v>
      </x:c>
      <x:c r="E791" s="11" t="str">
        <x:v>Basement water intrusion</x:v>
      </x:c>
      <x:c r="F791" s="20" t="n">
        <x:v>46284</x:v>
      </x:c>
      <x:c r="G791" s="8" t="str">
        <x:v>Buildings / building systems</x:v>
      </x:c>
      <x:c r="H791" s="8" t="str">
        <x:v>KGW November 2023 report; estimate dates not supplied</x:v>
      </x:c>
      <x:c r="I791" s="8" t="str">
        <x:v>https://flo.uri.sh/visualisation/15494950/embed</x:v>
      </x:c>
    </x:row>
    <x:row r="792" ht="46" customHeight="1">
      <x:c r="A792" s="7" t="n">
        <x:v>788</x:v>
      </x:c>
      <x:c r="B792" s="12" t="str">
        <x:v>Overlook House Community Center</x:v>
      </x:c>
      <x:c r="C792" s="12" t="str">
        <x:v>Replace old HVAC system</x:v>
      </x:c>
      <x:c r="D792" s="12" t="str">
        <x:v>Overlook Community Center</x:v>
      </x:c>
      <x:c r="E792" s="12" t="str">
        <x:v>Placeholder: replace HVAC system that was installed before 2000</x:v>
      </x:c>
      <x:c r="F792" s="21" t="n">
        <x:v>20154</x:v>
      </x:c>
      <x:c r="G792" s="7" t="str">
        <x:v>Buildings / building systems</x:v>
      </x:c>
      <x:c r="H792" s="7" t="str">
        <x:v>KGW November 2023 report; estimate dates not supplied</x:v>
      </x:c>
      <x:c r="I792" s="7" t="str">
        <x:v>https://flo.uri.sh/visualisation/15494950/embed</x:v>
      </x:c>
    </x:row>
    <x:row r="793" ht="46" customHeight="1">
      <x:c r="A793" s="8" t="n">
        <x:v>789</x:v>
      </x:c>
      <x:c r="B793" s="11" t="str">
        <x:v>Overlook House Community Center</x:v>
      </x:c>
      <x:c r="C793" s="11" t="str">
        <x:v>Replace wooden fence</x:v>
      </x:c>
      <x:c r="D793" s="11" t="str">
        <x:v>Community Center</x:v>
      </x:c>
      <x:c r="E793" s="11" t="str">
        <x:v>Problem
- The entire wooden fence along the East frontage of the property is rotted and a large segment fell down in the last wind storm. 
- This is a huge safety issue as the property drops off to a ravine immediately behind this fence. 
- Most posts failed and diagonal braced to prevent further collapsing 
- 	About 40% of boards are rotten 
- 	The gate is fully deteriorated 
- 	Tree branches affect some posts 
- 	According to overlook house coordinator, this fence fell twice in 2022 and 2023
Approximate dimention: 100 ft length X 5.0 ft high
Solutions:
Recommended option: Replace whole fence with same architectural style.
Less costly option: replace the posts and damaged/rotten boards.</x:v>
      </x:c>
      <x:c r="F793" s="20" t="n">
        <x:v>20000</x:v>
      </x:c>
      <x:c r="G793" s="8" t="str">
        <x:v>Buildings / building systems</x:v>
      </x:c>
      <x:c r="H793" s="8" t="str">
        <x:v>KGW November 2023 report; estimate dates not supplied</x:v>
      </x:c>
      <x:c r="I793" s="8" t="str">
        <x:v>https://flo.uri.sh/visualisation/15494950/embed</x:v>
      </x:c>
    </x:row>
    <x:row r="794" ht="46" customHeight="1">
      <x:c r="A794" s="7" t="n">
        <x:v>790</x:v>
      </x:c>
      <x:c r="B794" s="12" t="str">
        <x:v>Overlook House Community Center</x:v>
      </x:c>
      <x:c r="C794" s="12" t="str">
        <x:v>ESPC-III_Buildings Lighting to LEDs</x:v>
      </x:c>
      <x:c r="D794" s="12" t="str">
        <x:v>Community Center</x:v>
      </x:c>
      <x:c r="E794" s="12" t="str">
        <x:v>LED conversion for Exterior and Interior Lights</x:v>
      </x:c>
      <x:c r="F794" s="21" t="n">
        <x:v>11760</x:v>
      </x:c>
      <x:c r="G794" s="7" t="str">
        <x:v>Buildings / building systems</x:v>
      </x:c>
      <x:c r="H794" s="7" t="str">
        <x:v>KGW November 2023 report; estimate dates not supplied</x:v>
      </x:c>
      <x:c r="I794" s="7" t="str">
        <x:v>https://flo.uri.sh/visualisation/15494950/embed</x:v>
      </x:c>
    </x:row>
    <x:row r="795" ht="46" customHeight="1">
      <x:c r="A795" s="8" t="n">
        <x:v>791</x:v>
      </x:c>
      <x:c r="B795" s="11" t="str">
        <x:v>Overlook House Community Center</x:v>
      </x:c>
      <x:c r="C795" s="11" t="str">
        <x:v>Renovate the Roof of Community Center building</x:v>
      </x:c>
      <x:c r="D795" s="11" t="str">
        <x:v>Overlook Community Center</x:v>
      </x:c>
      <x:c r="E795" s="11" t="str">
        <x:v>Fix or replace the Roof that is rated 4 through buildings' assessment</x:v>
      </x:c>
      <x:c r="F795" s="20" t="n">
        <x:v>1442495</x:v>
      </x:c>
      <x:c r="G795" s="8" t="str">
        <x:v>Buildings / building systems</x:v>
      </x:c>
      <x:c r="H795" s="8" t="str">
        <x:v>KGW November 2023 report; estimate dates not supplied</x:v>
      </x:c>
      <x:c r="I795" s="8" t="str">
        <x:v>https://flo.uri.sh/visualisation/15494950/embed</x:v>
      </x:c>
    </x:row>
    <x:row r="796" ht="46" customHeight="1">
      <x:c r="A796" s="7" t="n">
        <x:v>792</x:v>
      </x:c>
      <x:c r="B796" s="12" t="str">
        <x:v>Overlook Park</x:v>
      </x:c>
      <x:c r="C796" s="12" t="str">
        <x:v>Pathway Renovation</x:v>
      </x:c>
      <x:c r="D796" s="12" t="str">
        <x:v>Internal Pathway/ Sidewalk</x:v>
      </x:c>
      <x:c r="E796" s="12" t="str">
        <x:v>Replace the damaged pathway, trails and sidewalks that have been rated as 4 and 5 in Pathway assessment</x:v>
      </x:c>
      <x:c r="F796" s="21" t="n">
        <x:v>42034</x:v>
      </x:c>
      <x:c r="G796" s="7" t="str">
        <x:v>Paths / access / bridges</x:v>
      </x:c>
      <x:c r="H796" s="7" t="str">
        <x:v>KGW November 2023 report; estimate dates not supplied</x:v>
      </x:c>
      <x:c r="I796" s="7" t="str">
        <x:v>https://flo.uri.sh/visualisation/15494950/embed</x:v>
      </x:c>
    </x:row>
    <x:row r="797" ht="46" customHeight="1">
      <x:c r="A797" s="8" t="n">
        <x:v>793</x:v>
      </x:c>
      <x:c r="B797" s="11" t="str">
        <x:v>Overlook Park</x:v>
      </x:c>
      <x:c r="C797" s="11" t="str">
        <x:v>Playground renovation</x:v>
      </x:c>
      <x:c r="D797" s="11" t="str">
        <x:v>Play Area A</x:v>
      </x:c>
      <x:c r="E797" s="11" t="str">
        <x:v>Renovation or repair playground that was rated as 4
 during playground assessment in 2020</x:v>
      </x:c>
      <x:c r="F797" s="20" t="n">
        <x:v>313955</x:v>
      </x:c>
      <x:c r="G797" s="8" t="str">
        <x:v>Fields / courts / play</x:v>
      </x:c>
      <x:c r="H797" s="8" t="str">
        <x:v>KGW November 2023 report; estimate dates not supplied</x:v>
      </x:c>
      <x:c r="I797" s="8" t="str">
        <x:v>https://flo.uri.sh/visualisation/15494950/embed</x:v>
      </x:c>
    </x:row>
    <x:row r="798" ht="46" customHeight="1">
      <x:c r="A798" s="7" t="n">
        <x:v>794</x:v>
      </x:c>
      <x:c r="B798" s="12" t="str">
        <x:v>Overlook Park</x:v>
      </x:c>
      <x:c r="C798" s="12" t="str">
        <x:v>Replace ballfield backstop fencing</x:v>
      </x:c>
      <x:c r="D798" s="12" t="str">
        <x:v>Ball field 1-Fence</x:v>
      </x:c>
      <x:c r="E798" s="12" t="str">
        <x:v>Backstop fencing of ballfield 1 is coming up and is unsafe to play:
- Post to hold it down is missing, post on other parts of the fencing is missing too
- Main post has a major crack in it. Both vertical and horizontal.
- One upper pipe on backstop overhang is cracked also. 
-Footing/concrete mow strip is loose and moves back and forth with minimal force.</x:v>
      </x:c>
      <x:c r="F798" s="21" t="n">
        <x:v>30000</x:v>
      </x:c>
      <x:c r="G798" s="7" t="str">
        <x:v>Fields / courts / play</x:v>
      </x:c>
      <x:c r="H798" s="7" t="str">
        <x:v>KGW November 2023 report; estimate dates not supplied</x:v>
      </x:c>
      <x:c r="I798" s="7" t="str">
        <x:v>https://flo.uri.sh/visualisation/15494950/embed</x:v>
      </x:c>
    </x:row>
    <x:row r="799" ht="46" customHeight="1">
      <x:c r="A799" s="8" t="n">
        <x:v>795</x:v>
      </x:c>
      <x:c r="B799" s="11" t="str">
        <x:v>Overlook Park</x:v>
      </x:c>
      <x:c r="C799" s="11" t="str">
        <x:v>Park improvements: access and pathways, lighting,</x:v>
      </x:c>
      <x:c r="D799" s="11" t="str">
        <x:v>Overlook Park</x:v>
      </x:c>
      <x:c r="E799" s="11" t="str">
        <x:v>Install outdoor fitness equipment, improve access from neighborhood, improve lighting, and improve trail.</x:v>
      </x:c>
      <x:c r="F799" s="20" t="n">
        <x:v>18065</x:v>
      </x:c>
      <x:c r="G799" s="8" t="str">
        <x:v>Paths / access / bridges</x:v>
      </x:c>
      <x:c r="H799" s="8" t="str">
        <x:v>KGW November 2023 report; estimate dates not supplied</x:v>
      </x:c>
      <x:c r="I799" s="8" t="str">
        <x:v>https://flo.uri.sh/visualisation/15494950/embed</x:v>
      </x:c>
    </x:row>
    <x:row r="800" ht="46" customHeight="1">
      <x:c r="A800" s="7" t="n">
        <x:v>796</x:v>
      </x:c>
      <x:c r="B800" s="12" t="str">
        <x:v>Overlook Park</x:v>
      </x:c>
      <x:c r="C800" s="12" t="str">
        <x:v>Install rubber matting around the whirl</x:v>
      </x:c>
      <x:c r="D800" s="12" t="str">
        <x:v>Play equipment</x:v>
      </x:c>
      <x:c r="E800" s="12" t="str">
        <x:v>The whirl is a stand alone whirly so it is very difficult to keep play chips around due to the type of use it gets and it is a small area so having the contractor in to just do a yard of playchips is impractical for the amount of times it needs it.</x:v>
      </x:c>
      <x:c r="F800" s="21" t="n">
        <x:v>16402</x:v>
      </x:c>
      <x:c r="G800" s="7" t="str">
        <x:v>Fields / courts / play</x:v>
      </x:c>
      <x:c r="H800" s="7" t="str">
        <x:v>KGW November 2023 report; estimate dates not supplied</x:v>
      </x:c>
      <x:c r="I800" s="7" t="str">
        <x:v>https://flo.uri.sh/visualisation/15494950/embed</x:v>
      </x:c>
    </x:row>
    <x:row r="801" ht="46" customHeight="1">
      <x:c r="A801" s="8" t="n">
        <x:v>797</x:v>
      </x:c>
      <x:c r="B801" s="11" t="str">
        <x:v>Overlook Park</x:v>
      </x:c>
      <x:c r="C801" s="11" t="str">
        <x:v>Restroom Upgrades</x:v>
      </x:c>
      <x:c r="D801" s="11" t="str">
        <x:v>Overlook Park</x:v>
      </x:c>
      <x:c r="E801" s="11" t="str">
        <x:v>Repair restroom at Overlook Park.  Gutters, doors, rafters, and shelter interior.  Replaces CIP 2286, projects were split out.</x:v>
      </x:c>
      <x:c r="F801" s="20" t="n">
        <x:v>16332</x:v>
      </x:c>
      <x:c r="G801" s="8" t="str">
        <x:v>Other site infrastructure</x:v>
      </x:c>
      <x:c r="H801" s="8" t="str">
        <x:v>KGW November 2023 report; estimate dates not supplied</x:v>
      </x:c>
      <x:c r="I801" s="8" t="str">
        <x:v>https://flo.uri.sh/visualisation/15494950/embed</x:v>
      </x:c>
    </x:row>
    <x:row r="802" ht="46" customHeight="1">
      <x:c r="A802" s="7" t="n">
        <x:v>798</x:v>
      </x:c>
      <x:c r="B802" s="12" t="str">
        <x:v>Overlook Park</x:v>
      </x:c>
      <x:c r="C802" s="12" t="str">
        <x:v>ESPC-III_Buildings Lighting to LEDs</x:v>
      </x:c>
      <x:c r="D802" s="12" t="str">
        <x:v>Shelter - Restroom - Storage</x:v>
      </x:c>
      <x:c r="E802" s="12" t="str">
        <x:v>LED conversion for Exterior and Interior Lights</x:v>
      </x:c>
      <x:c r="F802" s="21" t="n">
        <x:v>11760</x:v>
      </x:c>
      <x:c r="G802" s="7" t="str">
        <x:v>Buildings / building systems</x:v>
      </x:c>
      <x:c r="H802" s="7" t="str">
        <x:v>KGW November 2023 report; estimate dates not supplied</x:v>
      </x:c>
      <x:c r="I802" s="7" t="str">
        <x:v>https://flo.uri.sh/visualisation/15494950/embed</x:v>
      </x:c>
    </x:row>
    <x:row r="803" ht="46" customHeight="1">
      <x:c r="A803" s="8" t="n">
        <x:v>799</x:v>
      </x:c>
      <x:c r="B803" s="11" t="str">
        <x:v>Parklane Park</x:v>
      </x:c>
      <x:c r="C803" s="11" t="str">
        <x:v>Playground renovation</x:v>
      </x:c>
      <x:c r="D803" s="11" t="str">
        <x:v>Play Area A</x:v>
      </x:c>
      <x:c r="E803" s="11" t="str">
        <x:v>Renovation or repair playground that was rated as 5 during playground assessment in 2020</x:v>
      </x:c>
      <x:c r="F803" s="20" t="n">
        <x:v>240562</x:v>
      </x:c>
      <x:c r="G803" s="8" t="str">
        <x:v>Fields / courts / play</x:v>
      </x:c>
      <x:c r="H803" s="8" t="str">
        <x:v>KGW November 2023 report; estimate dates not supplied</x:v>
      </x:c>
      <x:c r="I803" s="8" t="str">
        <x:v>https://flo.uri.sh/visualisation/15494950/embed</x:v>
      </x:c>
    </x:row>
    <x:row r="804" ht="46" customHeight="1">
      <x:c r="A804" s="7" t="n">
        <x:v>800</x:v>
      </x:c>
      <x:c r="B804" s="12" t="str">
        <x:v>Parklane Park</x:v>
      </x:c>
      <x:c r="C804" s="12" t="str">
        <x:v>Renovate sport field</x:v>
      </x:c>
      <x:c r="D804" s="12" t="str">
        <x:v>Ball Field 1</x:v>
      </x:c>
      <x:c r="E804" s="12" t="str">
        <x:v>Sport fields rated 4 or 5 in condition assessment</x:v>
      </x:c>
      <x:c r="F804" s="21" t="n">
        <x:v>212615</x:v>
      </x:c>
      <x:c r="G804" s="7" t="str">
        <x:v>Fields / courts / play</x:v>
      </x:c>
      <x:c r="H804" s="7" t="str">
        <x:v>KGW November 2023 report; estimate dates not supplied</x:v>
      </x:c>
      <x:c r="I804" s="7" t="str">
        <x:v>https://flo.uri.sh/visualisation/15494950/embed</x:v>
      </x:c>
    </x:row>
    <x:row r="805" ht="46" customHeight="1">
      <x:c r="A805" s="8" t="n">
        <x:v>801</x:v>
      </x:c>
      <x:c r="B805" s="11" t="str">
        <x:v>Patton Square Park</x:v>
      </x:c>
      <x:c r="C805" s="11" t="str">
        <x:v>IFCC General Upgrade</x:v>
      </x:c>
      <x:c r="D805" s="11" t="str">
        <x:v>Interstate Firehouse Cultural Center</x:v>
      </x:c>
      <x:c r="E805" s="11" t="str">
        <x:v>Update to 1531C $ 0   Replace Windows and seals and lighting for energy efficiency and upgrade HVAC.</x:v>
      </x:c>
      <x:c r="F805" s="20" t="n">
        <x:v>97387</x:v>
      </x:c>
      <x:c r="G805" s="8" t="str">
        <x:v>Buildings / building systems</x:v>
      </x:c>
      <x:c r="H805" s="8" t="str">
        <x:v>KGW November 2023 report; estimate dates not supplied</x:v>
      </x:c>
      <x:c r="I805" s="8" t="str">
        <x:v>https://flo.uri.sh/visualisation/15494950/embed</x:v>
      </x:c>
    </x:row>
    <x:row r="806" ht="46" customHeight="1">
      <x:c r="A806" s="7" t="n">
        <x:v>802</x:v>
      </x:c>
      <x:c r="B806" s="12" t="str">
        <x:v>Patton Square Park</x:v>
      </x:c>
      <x:c r="C806" s="12" t="str">
        <x:v>Pathway Renovation</x:v>
      </x:c>
      <x:c r="D806" s="12" t="str">
        <x:v>Patton Square Park</x:v>
      </x:c>
      <x:c r="E806" s="12" t="str">
        <x:v>Replace the damaged pathway, trails and sidewalks that have been rated as 5 in Pathway assessment</x:v>
      </x:c>
      <x:c r="F806" s="21" t="n">
        <x:v>52247</x:v>
      </x:c>
      <x:c r="G806" s="7" t="str">
        <x:v>Paths / access / bridges</x:v>
      </x:c>
      <x:c r="H806" s="7" t="str">
        <x:v>KGW November 2023 report; estimate dates not supplied</x:v>
      </x:c>
      <x:c r="I806" s="7" t="str">
        <x:v>https://flo.uri.sh/visualisation/15494950/embed</x:v>
      </x:c>
    </x:row>
    <x:row r="807" ht="46" customHeight="1">
      <x:c r="A807" s="8" t="n">
        <x:v>803</x:v>
      </x:c>
      <x:c r="B807" s="11" t="str">
        <x:v>Patton Square Park</x:v>
      </x:c>
      <x:c r="C807" s="11" t="str">
        <x:v>Roof Hatch access</x:v>
      </x:c>
      <x:c r="D807" s="11" t="str">
        <x:v>Interstate Firehouse Cultural Center</x:v>
      </x:c>
      <x:c r="E807" s="11" t="str">
        <x:v>Problem: Ducts/ pipes are partially blocking the hatch 
Suggestions:  move the access to the wall or relocate the pipes / ducts. Perhaps even changing the roof access to the exterior of the room, by exiting the window and installing a ladder up the side of the building.</x:v>
      </x:c>
      <x:c r="F807" s="20" t="n">
        <x:v>29401</x:v>
      </x:c>
      <x:c r="G807" s="8" t="str">
        <x:v>Buildings / building systems</x:v>
      </x:c>
      <x:c r="H807" s="8" t="str">
        <x:v>KGW November 2023 report; estimate dates not supplied</x:v>
      </x:c>
      <x:c r="I807" s="8" t="str">
        <x:v>https://flo.uri.sh/visualisation/15494950/embed</x:v>
      </x:c>
    </x:row>
    <x:row r="808" ht="46" customHeight="1">
      <x:c r="A808" s="7" t="n">
        <x:v>804</x:v>
      </x:c>
      <x:c r="B808" s="12" t="str">
        <x:v>Patton Square Park</x:v>
      </x:c>
      <x:c r="C808" s="12" t="str">
        <x:v>Interior rehab</x:v>
      </x:c>
      <x:c r="D808" s="12" t="str">
        <x:v>Interstate Firehouse Cultural Center</x:v>
      </x:c>
      <x:c r="E808" s="12" t="str">
        <x:v>Lights, sound booth, carpet, upholstery</x:v>
      </x:c>
      <x:c r="F808" s="21" t="n">
        <x:v>128332</x:v>
      </x:c>
      <x:c r="G808" s="7" t="str">
        <x:v>Buildings / building systems</x:v>
      </x:c>
      <x:c r="H808" s="7" t="str">
        <x:v>KGW November 2023 report; estimate dates not supplied</x:v>
      </x:c>
      <x:c r="I808" s="7" t="str">
        <x:v>https://flo.uri.sh/visualisation/15494950/embed</x:v>
      </x:c>
    </x:row>
    <x:row r="809" ht="46" customHeight="1">
      <x:c r="A809" s="8" t="n">
        <x:v>805</x:v>
      </x:c>
      <x:c r="B809" s="11" t="str">
        <x:v>Patton Square Park</x:v>
      </x:c>
      <x:c r="C809" s="11" t="str">
        <x:v>ESPC-III_Buildings Lighting to LEDs</x:v>
      </x:c>
      <x:c r="D809" s="11" t="str">
        <x:v>Arts/Cultural</x:v>
      </x:c>
      <x:c r="E809" s="11" t="str">
        <x:v>LED conversion for Exterior and Interior Lights</x:v>
      </x:c>
      <x:c r="F809" s="20" t="n">
        <x:v>11760</x:v>
      </x:c>
      <x:c r="G809" s="8" t="str">
        <x:v>Buildings / building systems</x:v>
      </x:c>
      <x:c r="H809" s="8" t="str">
        <x:v>KGW November 2023 report; estimate dates not supplied</x:v>
      </x:c>
      <x:c r="I809" s="8" t="str">
        <x:v>https://flo.uri.sh/visualisation/15494950/embed</x:v>
      </x:c>
    </x:row>
    <x:row r="810" ht="46" customHeight="1">
      <x:c r="A810" s="7" t="n">
        <x:v>806</x:v>
      </x:c>
      <x:c r="B810" s="12" t="str">
        <x:v>Pendleton Park</x:v>
      </x:c>
      <x:c r="C810" s="12" t="str">
        <x:v>Pathway Renovation</x:v>
      </x:c>
      <x:c r="D810" s="12" t="str">
        <x:v>Pendleton Park</x:v>
      </x:c>
      <x:c r="E810" s="12" t="str">
        <x:v>Replace the damaged pathway, trails and sidewalks that have been rated as 4 and 5 in Pathway assessment</x:v>
      </x:c>
      <x:c r="F810" s="21" t="n">
        <x:v>79803</x:v>
      </x:c>
      <x:c r="G810" s="7" t="str">
        <x:v>Paths / access / bridges</x:v>
      </x:c>
      <x:c r="H810" s="7" t="str">
        <x:v>KGW November 2023 report; estimate dates not supplied</x:v>
      </x:c>
      <x:c r="I810" s="7" t="str">
        <x:v>https://flo.uri.sh/visualisation/15494950/embed</x:v>
      </x:c>
    </x:row>
    <x:row r="811" ht="46" customHeight="1">
      <x:c r="A811" s="8" t="n">
        <x:v>807</x:v>
      </x:c>
      <x:c r="B811" s="11" t="str">
        <x:v>Pendleton Park</x:v>
      </x:c>
      <x:c r="C811" s="11" t="str">
        <x:v>Building renovation</x:v>
      </x:c>
      <x:c r="D811" s="11" t="str">
        <x:v>Restroom A</x:v>
      </x:c>
      <x:c r="E811" s="11" t="str">
        <x:v>Renovate buildings rated 4 or 5 in condition assessment</x:v>
      </x:c>
      <x:c r="F811" s="20" t="n">
        <x:v>135624</x:v>
      </x:c>
      <x:c r="G811" s="8" t="str">
        <x:v>Buildings / building systems</x:v>
      </x:c>
      <x:c r="H811" s="8" t="str">
        <x:v>KGW November 2023 report; estimate dates not supplied</x:v>
      </x:c>
      <x:c r="I811" s="8" t="str">
        <x:v>https://flo.uri.sh/visualisation/15494950/embed</x:v>
      </x:c>
    </x:row>
    <x:row r="812" ht="46" customHeight="1">
      <x:c r="A812" s="7" t="n">
        <x:v>808</x:v>
      </x:c>
      <x:c r="B812" s="12" t="str">
        <x:v>Pendleton Park</x:v>
      </x:c>
      <x:c r="C812" s="12" t="str">
        <x:v>Renovate Basketball sport court at Pendleton Park</x:v>
      </x:c>
      <x:c r="D812" s="12" t="str">
        <x:v>Basketball Court</x:v>
      </x:c>
      <x:c r="E812" s="12" t="str">
        <x:v>Fix or replace the Asphalt surface of the court that is rated 4 through courts' assessment</x:v>
      </x:c>
      <x:c r="F812" s="21" t="n">
        <x:v>125210</x:v>
      </x:c>
      <x:c r="G812" s="7" t="str">
        <x:v>Fields / courts / play</x:v>
      </x:c>
      <x:c r="H812" s="7" t="str">
        <x:v>KGW November 2023 report; estimate dates not supplied</x:v>
      </x:c>
      <x:c r="I812" s="7" t="str">
        <x:v>https://flo.uri.sh/visualisation/15494950/embed</x:v>
      </x:c>
    </x:row>
    <x:row r="813" ht="46" customHeight="1">
      <x:c r="A813" s="8" t="n">
        <x:v>809</x:v>
      </x:c>
      <x:c r="B813" s="11" t="str">
        <x:v>Pendleton Park</x:v>
      </x:c>
      <x:c r="C813" s="11" t="str">
        <x:v>ESPC-III_Buildings Lighting to LEDs</x:v>
      </x:c>
      <x:c r="D813" s="11" t="str">
        <x:v>Residence</x:v>
      </x:c>
      <x:c r="E813" s="11" t="str">
        <x:v>LED conversion for Exterior and Interior Lights</x:v>
      </x:c>
      <x:c r="F813" s="20" t="n">
        <x:v>11760</x:v>
      </x:c>
      <x:c r="G813" s="8" t="str">
        <x:v>Buildings / building systems</x:v>
      </x:c>
      <x:c r="H813" s="8" t="str">
        <x:v>KGW November 2023 report; estimate dates not supplied</x:v>
      </x:c>
      <x:c r="I813" s="8" t="str">
        <x:v>https://flo.uri.sh/visualisation/15494950/embed</x:v>
      </x:c>
    </x:row>
    <x:row r="814" ht="46" customHeight="1">
      <x:c r="A814" s="7" t="n">
        <x:v>810</x:v>
      </x:c>
      <x:c r="B814" s="12" t="str">
        <x:v>Pendleton Park</x:v>
      </x:c>
      <x:c r="C814" s="12" t="str">
        <x:v>ESPC-III_Buildings Lighting to LEDs</x:v>
      </x:c>
      <x:c r="D814" s="12" t="str">
        <x:v>Restroom - Storage - Maintenance</x:v>
      </x:c>
      <x:c r="E814" s="12" t="str">
        <x:v>LED conversion for Exterior and Interior Lights</x:v>
      </x:c>
      <x:c r="F814" s="21" t="n">
        <x:v>11760</x:v>
      </x:c>
      <x:c r="G814" s="7" t="str">
        <x:v>Buildings / building systems</x:v>
      </x:c>
      <x:c r="H814" s="7" t="str">
        <x:v>KGW November 2023 report; estimate dates not supplied</x:v>
      </x:c>
      <x:c r="I814" s="7" t="str">
        <x:v>https://flo.uri.sh/visualisation/15494950/embed</x:v>
      </x:c>
    </x:row>
    <x:row r="815" ht="46" customHeight="1">
      <x:c r="A815" s="8" t="n">
        <x:v>811</x:v>
      </x:c>
      <x:c r="B815" s="11" t="str">
        <x:v>Peninsula Park</x:v>
      </x:c>
      <x:c r="C815" s="11" t="str">
        <x:v>Irrigation Upgrade</x:v>
      </x:c>
      <x:c r="D815" s="11" t="str"/>
      <x:c r="E815" s="11" t="str">
        <x:v>Install controlled irrigation system to the perimeter turf of Rose Garden and North side of Peninsula Park Community Center. IF SUPPORTED BY SUSTAINABLE LANDSCAPES INITIATIVE.</x:v>
      </x:c>
      <x:c r="F815" s="20" t="n">
        <x:v>71706</x:v>
      </x:c>
      <x:c r="G815" s="8" t="str">
        <x:v>Buildings / building systems</x:v>
      </x:c>
      <x:c r="H815" s="8" t="str">
        <x:v>KGW November 2023 report; estimate dates not supplied</x:v>
      </x:c>
      <x:c r="I815" s="8" t="str">
        <x:v>https://flo.uri.sh/visualisation/15494950/embed</x:v>
      </x:c>
    </x:row>
    <x:row r="816" ht="46" customHeight="1">
      <x:c r="A816" s="7" t="n">
        <x:v>812</x:v>
      </x:c>
      <x:c r="B816" s="12" t="str">
        <x:v>Peninsula Park</x:v>
      </x:c>
      <x:c r="C816" s="12" t="str">
        <x:v>Renovate the Roof of Restroom - Storage building</x:v>
      </x:c>
      <x:c r="D816" s="12" t="str">
        <x:v>Restroom B</x:v>
      </x:c>
      <x:c r="E816" s="12" t="str">
        <x:v>Fix or replace the Roof that is rated 4 through buildings' assessment</x:v>
      </x:c>
      <x:c r="F816" s="21" t="n">
        <x:v>55505</x:v>
      </x:c>
      <x:c r="G816" s="7" t="str">
        <x:v>Buildings / building systems</x:v>
      </x:c>
      <x:c r="H816" s="7" t="str">
        <x:v>KGW November 2023 report; estimate dates not supplied</x:v>
      </x:c>
      <x:c r="I816" s="7" t="str">
        <x:v>https://flo.uri.sh/visualisation/15494950/embed</x:v>
      </x:c>
    </x:row>
    <x:row r="817" ht="46" customHeight="1">
      <x:c r="A817" s="8" t="n">
        <x:v>813</x:v>
      </x:c>
      <x:c r="B817" s="11" t="str">
        <x:v>Peninsula Park</x:v>
      </x:c>
      <x:c r="C817" s="11" t="str">
        <x:v>Renovate sport field</x:v>
      </x:c>
      <x:c r="D817" s="11" t="str">
        <x:v>Ball Field 1, Ball Field 2</x:v>
      </x:c>
      <x:c r="E817" s="11" t="str">
        <x:v>Sport fields rated 4 or 5 in condition assessment</x:v>
      </x:c>
      <x:c r="F817" s="20" t="n">
        <x:v>540601</x:v>
      </x:c>
      <x:c r="G817" s="8" t="str">
        <x:v>Fields / courts / play</x:v>
      </x:c>
      <x:c r="H817" s="8" t="str">
        <x:v>KGW November 2023 report; estimate dates not supplied</x:v>
      </x:c>
      <x:c r="I817" s="8" t="str">
        <x:v>https://flo.uri.sh/visualisation/15494950/embed</x:v>
      </x:c>
    </x:row>
    <x:row r="818" ht="46" customHeight="1">
      <x:c r="A818" s="7" t="n">
        <x:v>814</x:v>
      </x:c>
      <x:c r="B818" s="12" t="str">
        <x:v>Peninsula Park</x:v>
      </x:c>
      <x:c r="C818" s="12" t="str">
        <x:v>ESPC-II_ Peninsula Park Community Center &amp; Pool</x:v>
      </x:c>
      <x:c r="D818" s="12" t="str"/>
      <x:c r="E818" s="12" t="str">
        <x:v>Tighten schedules and setpoints to match occupancy and maintain a 5F deadband between occupied heating and cooling setpoints.. FIM Name: 04.01-1124 DDC/Control System Optimization</x:v>
      </x:c>
      <x:c r="F818" s="21" t="n">
        <x:v>5188</x:v>
      </x:c>
      <x:c r="G818" s="7" t="str">
        <x:v>Pools / aquatics</x:v>
      </x:c>
      <x:c r="H818" s="7" t="str">
        <x:v>KGW November 2023 report; estimate dates not supplied</x:v>
      </x:c>
      <x:c r="I818" s="7" t="str">
        <x:v>https://flo.uri.sh/visualisation/15494950/embed</x:v>
      </x:c>
    </x:row>
    <x:row r="819" ht="46" customHeight="1">
      <x:c r="A819" s="8" t="n">
        <x:v>815</x:v>
      </x:c>
      <x:c r="B819" s="11" t="str">
        <x:v>Peninsula Park</x:v>
      </x:c>
      <x:c r="C819" s="11" t="str">
        <x:v>ESPC-II_ Peninsula Park Community Center &amp; Pool</x:v>
      </x:c>
      <x:c r="D819" s="11" t="str"/>
      <x:c r="E819" s="11" t="str">
        <x:v>Replace existing single pane windows at Peninsula Park Community Center. All new windows to be low emissivity double pane wood frame.. FIM Name: 13.00-1124 Window Replacement</x:v>
      </x:c>
      <x:c r="F819" s="20" t="n">
        <x:v>468353</x:v>
      </x:c>
      <x:c r="G819" s="8" t="str">
        <x:v>Pools / aquatics</x:v>
      </x:c>
      <x:c r="H819" s="8" t="str">
        <x:v>KGW November 2023 report; estimate dates not supplied</x:v>
      </x:c>
      <x:c r="I819" s="8" t="str">
        <x:v>https://flo.uri.sh/visualisation/15494950/embed</x:v>
      </x:c>
    </x:row>
    <x:row r="820" ht="46" customHeight="1">
      <x:c r="A820" s="7" t="n">
        <x:v>816</x:v>
      </x:c>
      <x:c r="B820" s="12" t="str">
        <x:v>Peninsula Park</x:v>
      </x:c>
      <x:c r="C820" s="12" t="str">
        <x:v>Fire Protection improvement</x:v>
      </x:c>
      <x:c r="D820" s="12" t="str">
        <x:v>Peninsula Park Community Center &amp; Pool</x:v>
      </x:c>
      <x:c r="E820" s="12" t="str">
        <x:v>Provide automatic sprinklers in unsprinklered areas.</x:v>
      </x:c>
      <x:c r="F820" s="21" t="n">
        <x:v>359799</x:v>
      </x:c>
      <x:c r="G820" s="7" t="str">
        <x:v>Pools / aquatics</x:v>
      </x:c>
      <x:c r="H820" s="7" t="str">
        <x:v>KGW November 2023 report; estimate dates not supplied</x:v>
      </x:c>
      <x:c r="I820" s="7" t="str">
        <x:v>https://flo.uri.sh/visualisation/15494950/embed</x:v>
      </x:c>
    </x:row>
    <x:row r="821" ht="46" customHeight="1">
      <x:c r="A821" s="8" t="n">
        <x:v>817</x:v>
      </x:c>
      <x:c r="B821" s="11" t="str">
        <x:v>Peninsula Park</x:v>
      </x:c>
      <x:c r="C821" s="11" t="str">
        <x:v>Pathway Renovation</x:v>
      </x:c>
      <x:c r="D821" s="11" t="str">
        <x:v>Peninsula Park</x:v>
      </x:c>
      <x:c r="E821" s="11" t="str">
        <x:v>Replace the damaged pathway, trails and sidewalks that have been rated as 4 and 5 in Pathway assessment</x:v>
      </x:c>
      <x:c r="F821" s="20" t="n">
        <x:v>332740</x:v>
      </x:c>
      <x:c r="G821" s="8" t="str">
        <x:v>Paths / access / bridges</x:v>
      </x:c>
      <x:c r="H821" s="8" t="str">
        <x:v>KGW November 2023 report; estimate dates not supplied</x:v>
      </x:c>
      <x:c r="I821" s="8" t="str">
        <x:v>https://flo.uri.sh/visualisation/15494950/embed</x:v>
      </x:c>
    </x:row>
    <x:row r="822" ht="46" customHeight="1">
      <x:c r="A822" s="7" t="n">
        <x:v>818</x:v>
      </x:c>
      <x:c r="B822" s="12" t="str">
        <x:v>Peninsula Park</x:v>
      </x:c>
      <x:c r="C822" s="12" t="str">
        <x:v>ESPC-II_ Peninsula Park</x:v>
      </x:c>
      <x:c r="D822" s="12" t="str"/>
      <x:c r="E822" s="12" t="str">
        <x:v>Install a GE control node on each pathway light fixture.  Node for parks with &lt;50 fixtures will be model #ELWM18BXXXXAD.  Node for parks with &gt;50 fixtures will be model #ELWN08BXXXXAD.. FIM Name: 09.17-0507 Building Exterior Lighting Controls</x:v>
      </x:c>
      <x:c r="F822" s="21" t="n">
        <x:v>3295</x:v>
      </x:c>
      <x:c r="G822" s="7" t="str">
        <x:v>Buildings / building systems</x:v>
      </x:c>
      <x:c r="H822" s="7" t="str">
        <x:v>KGW November 2023 report; estimate dates not supplied</x:v>
      </x:c>
      <x:c r="I822" s="7" t="str">
        <x:v>https://flo.uri.sh/visualisation/15494950/embed</x:v>
      </x:c>
    </x:row>
    <x:row r="823" ht="46" customHeight="1">
      <x:c r="A823" s="8" t="n">
        <x:v>819</x:v>
      </x:c>
      <x:c r="B823" s="11" t="str">
        <x:v>Peninsula Park</x:v>
      </x:c>
      <x:c r="C823" s="11" t="str">
        <x:v>ESPC-II_ Peninsula Park Community Center &amp; Pool</x:v>
      </x:c>
      <x:c r="D823" s="11" t="str"/>
      <x:c r="E823" s="11" t="str">
        <x:v>Replace both existing natural gas fired domestic water heaters at Peninsula Park Community Center &amp; Pool with new high efficiency modulating natural gas domestic water heaters.. FIM Name: 12.00-1124 New High Efficiency Domestic Water Heaters</x:v>
      </x:c>
      <x:c r="F823" s="20" t="n">
        <x:v>214900</x:v>
      </x:c>
      <x:c r="G823" s="8" t="str">
        <x:v>Pools / aquatics</x:v>
      </x:c>
      <x:c r="H823" s="8" t="str">
        <x:v>KGW November 2023 report; estimate dates not supplied</x:v>
      </x:c>
      <x:c r="I823" s="8" t="str">
        <x:v>https://flo.uri.sh/visualisation/15494950/embed</x:v>
      </x:c>
    </x:row>
    <x:row r="824" ht="46" customHeight="1">
      <x:c r="A824" s="7" t="n">
        <x:v>820</x:v>
      </x:c>
      <x:c r="B824" s="12" t="str">
        <x:v>Peninsula Park</x:v>
      </x:c>
      <x:c r="C824" s="12" t="str">
        <x:v>ESPC-II_ Peninsula Park</x:v>
      </x:c>
      <x:c r="D824" s="12" t="str"/>
      <x:c r="E824" s="12" t="str">
        <x:v>Replace (1) existing Waterplay Monster ground spray (32 gpm @ 5ft) with wave nozzle (6 gpm).. FIM Name: 18.08-0507 Splash Pad Water Use Reduction</x:v>
      </x:c>
      <x:c r="F824" s="21" t="n">
        <x:v>2587</x:v>
      </x:c>
      <x:c r="G824" s="7" t="str">
        <x:v>Utilities / lighting / drainage</x:v>
      </x:c>
      <x:c r="H824" s="7" t="str">
        <x:v>KGW November 2023 report; estimate dates not supplied</x:v>
      </x:c>
      <x:c r="I824" s="7" t="str">
        <x:v>https://flo.uri.sh/visualisation/15494950/embed</x:v>
      </x:c>
    </x:row>
    <x:row r="825" ht="46" customHeight="1">
      <x:c r="A825" s="8" t="n">
        <x:v>821</x:v>
      </x:c>
      <x:c r="B825" s="11" t="str">
        <x:v>Peninsula Park</x:v>
      </x:c>
      <x:c r="C825" s="11" t="str">
        <x:v>ESPC-II_ Peninsula Park Community Center &amp; Pool</x:v>
      </x:c>
      <x:c r="D825" s="11" t="str"/>
      <x:c r="E825" s="11" t="str">
        <x:v>Install low flow aerators, low flow shower heads, and RCx water closet flush valves.. FIM Name: 18.00-1124 Water Fixture Retrofits</x:v>
      </x:c>
      <x:c r="F825" s="20" t="n">
        <x:v>19362</x:v>
      </x:c>
      <x:c r="G825" s="8" t="str">
        <x:v>Pools / aquatics</x:v>
      </x:c>
      <x:c r="H825" s="8" t="str">
        <x:v>KGW November 2023 report; estimate dates not supplied</x:v>
      </x:c>
      <x:c r="I825" s="8" t="str">
        <x:v>https://flo.uri.sh/visualisation/15494950/embed</x:v>
      </x:c>
    </x:row>
    <x:row r="826" ht="46" customHeight="1">
      <x:c r="A826" s="7" t="n">
        <x:v>822</x:v>
      </x:c>
      <x:c r="B826" s="12" t="str">
        <x:v>Peninsula Park</x:v>
      </x:c>
      <x:c r="C826" s="12" t="str">
        <x:v>Replace Backflow preventer device</x:v>
      </x:c>
      <x:c r="D826" s="12" t="str">
        <x:v>Property</x:v>
      </x:c>
      <x:c r="E826" s="12" t="str">
        <x:v>- Replace out of compliance backflow preventers
- Assembly: Double Check Valve Assembly (DCVA)
- Move to property line, if needed
- Hazard: Aquatics and ROW
- See components for detail</x:v>
      </x:c>
      <x:c r="F826" s="21" t="n">
        <x:v>15000</x:v>
      </x:c>
      <x:c r="G826" s="7" t="str">
        <x:v>Pools / aquatics</x:v>
      </x:c>
      <x:c r="H826" s="7" t="str">
        <x:v>KGW November 2023 report; estimate dates not supplied</x:v>
      </x:c>
      <x:c r="I826" s="7" t="str">
        <x:v>https://flo.uri.sh/visualisation/15494950/embed</x:v>
      </x:c>
    </x:row>
    <x:row r="827" ht="46" customHeight="1">
      <x:c r="A827" s="8" t="n">
        <x:v>823</x:v>
      </x:c>
      <x:c r="B827" s="11" t="str">
        <x:v>Peninsula Park</x:v>
      </x:c>
      <x:c r="C827" s="11" t="str">
        <x:v>Replace old HVAC system</x:v>
      </x:c>
      <x:c r="D827" s="11" t="str">
        <x:v>Peninsula Community Center &amp; Pool</x:v>
      </x:c>
      <x:c r="E827" s="11" t="str">
        <x:v>Placeholder: replace HVAC system that was installed before 2000</x:v>
      </x:c>
      <x:c r="F827" s="20" t="n">
        <x:v>108073</x:v>
      </x:c>
      <x:c r="G827" s="8" t="str">
        <x:v>Pools / aquatics</x:v>
      </x:c>
      <x:c r="H827" s="8" t="str">
        <x:v>KGW November 2023 report; estimate dates not supplied</x:v>
      </x:c>
      <x:c r="I827" s="8" t="str">
        <x:v>https://flo.uri.sh/visualisation/15494950/embed</x:v>
      </x:c>
    </x:row>
    <x:row r="828" ht="46" customHeight="1">
      <x:c r="A828" s="7" t="n">
        <x:v>824</x:v>
      </x:c>
      <x:c r="B828" s="12" t="str">
        <x:v>Peninsula Park</x:v>
      </x:c>
      <x:c r="C828" s="12" t="str">
        <x:v>ESPC-II_ Peninsula Park</x:v>
      </x:c>
      <x:c r="D828" s="12" t="str"/>
      <x:c r="E828" s="12" t="str">
        <x:v>Retrocommission all astronomical and mechanical timeclocks to ensure proper operation and correct current time.. FIM Name: 05.00-0507 Retro Commissioning Astronomical &amp; Mech Timeclocks</x:v>
      </x:c>
      <x:c r="F828" s="21" t="n">
        <x:v>1303</x:v>
      </x:c>
      <x:c r="G828" s="7" t="str">
        <x:v>Utilities / lighting / drainage</x:v>
      </x:c>
      <x:c r="H828" s="7" t="str">
        <x:v>KGW November 2023 report; estimate dates not supplied</x:v>
      </x:c>
      <x:c r="I828" s="7" t="str">
        <x:v>https://flo.uri.sh/visualisation/15494950/embed</x:v>
      </x:c>
    </x:row>
    <x:row r="829" ht="46" customHeight="1">
      <x:c r="A829" s="8" t="n">
        <x:v>825</x:v>
      </x:c>
      <x:c r="B829" s="11" t="str">
        <x:v>Peninsula Park</x:v>
      </x:c>
      <x:c r="C829" s="11" t="str">
        <x:v>ESPC-II_ Peninsula Park Community Center &amp; Pool</x:v>
      </x:c>
      <x:c r="D829" s="11" t="str"/>
      <x:c r="E829" s="11" t="str">
        <x:v>Demo existing radiant heaters at Peninsula Park Community Center &amp; install variable refrigerant flow (VRF) units for increased energy efficiency and comfort. Existing windows to remain as source of ventillation.. FIM Name: 03.00-1124 Air-Side &amp; Unitary HVAC Equipment Upgrades</x:v>
      </x:c>
      <x:c r="F829" s="20" t="n">
        <x:v>1088828</x:v>
      </x:c>
      <x:c r="G829" s="8" t="str">
        <x:v>Pools / aquatics</x:v>
      </x:c>
      <x:c r="H829" s="8" t="str">
        <x:v>KGW November 2023 report; estimate dates not supplied</x:v>
      </x:c>
      <x:c r="I829" s="8" t="str">
        <x:v>https://flo.uri.sh/visualisation/15494950/embed</x:v>
      </x:c>
    </x:row>
    <x:row r="830" ht="46" customHeight="1">
      <x:c r="A830" s="7" t="n">
        <x:v>826</x:v>
      </x:c>
      <x:c r="B830" s="12" t="str">
        <x:v>Peninsula Park</x:v>
      </x:c>
      <x:c r="C830" s="12" t="str">
        <x:v>Building envelope upgrade</x:v>
      </x:c>
      <x:c r="D830" s="12" t="str">
        <x:v>Peninsula Community Center</x:v>
      </x:c>
      <x:c r="E830" s="12" t="str">
        <x:v>General Improvements to Peninsula CC Building envelope:  replace windows, upgrade building isolation, and HVAC upgrades</x:v>
      </x:c>
      <x:c r="F830" s="21" t="n">
        <x:v>1020002</x:v>
      </x:c>
      <x:c r="G830" s="7" t="str">
        <x:v>Buildings / building systems</x:v>
      </x:c>
      <x:c r="H830" s="7" t="str">
        <x:v>KGW November 2023 report; estimate dates not supplied</x:v>
      </x:c>
      <x:c r="I830" s="7" t="str">
        <x:v>https://flo.uri.sh/visualisation/15494950/embed</x:v>
      </x:c>
    </x:row>
    <x:row r="831" ht="46" customHeight="1">
      <x:c r="A831" s="8" t="n">
        <x:v>827</x:v>
      </x:c>
      <x:c r="B831" s="11" t="str">
        <x:v>Peter Kerr Property</x:v>
      </x:c>
      <x:c r="C831" s="11" t="str">
        <x:v>Ecological Restoration_ Peter Kerr Property</x:v>
      </x:c>
      <x:c r="D831" s="11" t="str"/>
      <x:c r="E831" s="11" t="str">
        <x:v>Placholder for Ecological health restoration
Part of (Terwilliger Parkway including George Himes and Duniway) project</x:v>
      </x:c>
      <x:c r="F831" s="20" t="n">
        <x:v>294012</x:v>
      </x:c>
      <x:c r="G831" s="8" t="str">
        <x:v>Other site infrastructure</x:v>
      </x:c>
      <x:c r="H831" s="8" t="str">
        <x:v>KGW November 2023 report; estimate dates not supplied</x:v>
      </x:c>
      <x:c r="I831" s="8" t="str">
        <x:v>https://flo.uri.sh/visualisation/15494950/embed</x:v>
      </x:c>
    </x:row>
    <x:row r="832" ht="46" customHeight="1">
      <x:c r="A832" s="7" t="n">
        <x:v>828</x:v>
      </x:c>
      <x:c r="B832" s="12" t="str">
        <x:v>Pettygrove Park</x:v>
      </x:c>
      <x:c r="C832" s="12" t="str">
        <x:v>ESPC-III_Pathway Lighting to LEDs</x:v>
      </x:c>
      <x:c r="D832" s="12" t="str"/>
      <x:c r="E832" s="12" t="str">
        <x:v>Pathway Lighting Conversion to LEDs and Controls. Aprox: 15 Poles</x:v>
      </x:c>
      <x:c r="F832" s="21" t="n">
        <x:v>52922</x:v>
      </x:c>
      <x:c r="G832" s="7" t="str">
        <x:v>Paths / access / bridges</x:v>
      </x:c>
      <x:c r="H832" s="7" t="str">
        <x:v>KGW November 2023 report; estimate dates not supplied</x:v>
      </x:c>
      <x:c r="I832" s="7" t="str">
        <x:v>https://flo.uri.sh/visualisation/15494950/embed</x:v>
      </x:c>
    </x:row>
    <x:row r="833" ht="46" customHeight="1">
      <x:c r="A833" s="8" t="n">
        <x:v>829</x:v>
      </x:c>
      <x:c r="B833" s="11" t="str">
        <x:v>Pettygrove Park</x:v>
      </x:c>
      <x:c r="C833" s="11" t="str">
        <x:v>Pathway Renovation</x:v>
      </x:c>
      <x:c r="D833" s="11" t="str">
        <x:v>Pettygrove Park</x:v>
      </x:c>
      <x:c r="E833" s="11" t="str">
        <x:v>Replace the damaged pathway, trails and sidewalks that have been rated as 4 and 5 in Pathway assessment</x:v>
      </x:c>
      <x:c r="F833" s="20" t="n">
        <x:v>29401</x:v>
      </x:c>
      <x:c r="G833" s="8" t="str">
        <x:v>Paths / access / bridges</x:v>
      </x:c>
      <x:c r="H833" s="8" t="str">
        <x:v>KGW November 2023 report; estimate dates not supplied</x:v>
      </x:c>
      <x:c r="I833" s="8" t="str">
        <x:v>https://flo.uri.sh/visualisation/15494950/embed</x:v>
      </x:c>
    </x:row>
    <x:row r="834" ht="46" customHeight="1">
      <x:c r="A834" s="7" t="n">
        <x:v>830</x:v>
      </x:c>
      <x:c r="B834" s="12" t="str">
        <x:v>Pettygrove Park</x:v>
      </x:c>
      <x:c r="C834" s="12" t="str">
        <x:v>Replace Backflow preventer device</x:v>
      </x:c>
      <x:c r="D834" s="12" t="str">
        <x:v>Irrigation and property</x:v>
      </x:c>
      <x:c r="E834" s="12" t="str">
        <x:v>- Replace out of compliance backflow preventers
- Assembly: Double Check Valve Assembly (DCVA) and Reduced Pressure Backflow Assembly (RPBA)
- Move to property line, if needed
- See components for detail</x:v>
      </x:c>
      <x:c r="F834" s="21" t="n">
        <x:v>10000</x:v>
      </x:c>
      <x:c r="G834" s="7" t="str">
        <x:v>Utilities / lighting / drainage</x:v>
      </x:c>
      <x:c r="H834" s="7" t="str">
        <x:v>KGW November 2023 report; estimate dates not supplied</x:v>
      </x:c>
      <x:c r="I834" s="7" t="str">
        <x:v>https://flo.uri.sh/visualisation/15494950/embed</x:v>
      </x:c>
    </x:row>
    <x:row r="835" ht="46" customHeight="1">
      <x:c r="A835" s="8" t="n">
        <x:v>831</x:v>
      </x:c>
      <x:c r="B835" s="11" t="str">
        <x:v>Piccolo Park</x:v>
      </x:c>
      <x:c r="C835" s="11" t="str">
        <x:v>ESPC-III_Pathway Lighting to LEDs</x:v>
      </x:c>
      <x:c r="D835" s="11" t="str"/>
      <x:c r="E835" s="11" t="str">
        <x:v>Pathway Lighting Conversion to LEDs and Controls. Aprox: 1 Poles</x:v>
      </x:c>
      <x:c r="F835" s="20" t="n">
        <x:v>3528</x:v>
      </x:c>
      <x:c r="G835" s="8" t="str">
        <x:v>Paths / access / bridges</x:v>
      </x:c>
      <x:c r="H835" s="8" t="str">
        <x:v>KGW November 2023 report; estimate dates not supplied</x:v>
      </x:c>
      <x:c r="I835" s="8" t="str">
        <x:v>https://flo.uri.sh/visualisation/15494950/embed</x:v>
      </x:c>
    </x:row>
    <x:row r="836" ht="46" customHeight="1">
      <x:c r="A836" s="7" t="n">
        <x:v>832</x:v>
      </x:c>
      <x:c r="B836" s="12" t="str">
        <x:v>Pier Park</x:v>
      </x:c>
      <x:c r="C836" s="12" t="str">
        <x:v>Pathway Renovation</x:v>
      </x:c>
      <x:c r="D836" s="12" t="str">
        <x:v>Pier Park</x:v>
      </x:c>
      <x:c r="E836" s="12" t="str">
        <x:v>Replace the damaged pathway, trails and sidewalks that have been rated as 4 and 5 in Pathway assessment</x:v>
      </x:c>
      <x:c r="F836" s="21" t="n">
        <x:v>772786</x:v>
      </x:c>
      <x:c r="G836" s="7" t="str">
        <x:v>Paths / access / bridges</x:v>
      </x:c>
      <x:c r="H836" s="7" t="str">
        <x:v>KGW November 2023 report; estimate dates not supplied</x:v>
      </x:c>
      <x:c r="I836" s="7" t="str">
        <x:v>https://flo.uri.sh/visualisation/15494950/embed</x:v>
      </x:c>
    </x:row>
    <x:row r="837" ht="46" customHeight="1">
      <x:c r="A837" s="8" t="n">
        <x:v>833</x:v>
      </x:c>
      <x:c r="B837" s="11" t="str">
        <x:v>Pier Park</x:v>
      </x:c>
      <x:c r="C837" s="11" t="str">
        <x:v>PREPHub Pilot Project</x:v>
      </x:c>
      <x:c r="D837" s="11" t="str">
        <x:v>Pier Park</x:v>
      </x:c>
      <x:c r="E837" s="11" t="str"/>
      <x:c r="F837" s="20" t="n">
        <x:v>59967</x:v>
      </x:c>
      <x:c r="G837" s="8" t="str">
        <x:v>Other site infrastructure</x:v>
      </x:c>
      <x:c r="H837" s="8" t="str">
        <x:v>KGW November 2023 report; estimate dates not supplied</x:v>
      </x:c>
      <x:c r="I837" s="8" t="str">
        <x:v>https://flo.uri.sh/visualisation/15494950/embed</x:v>
      </x:c>
    </x:row>
    <x:row r="838" ht="46" customHeight="1">
      <x:c r="A838" s="7" t="n">
        <x:v>834</x:v>
      </x:c>
      <x:c r="B838" s="12" t="str">
        <x:v>Pier Park</x:v>
      </x:c>
      <x:c r="C838" s="12" t="str">
        <x:v>Pathway improvements.</x:v>
      </x:c>
      <x:c r="D838" s="12" t="str">
        <x:v>Pier Park</x:v>
      </x:c>
      <x:c r="E838" s="12" t="str">
        <x:v>Improve paths.  Replaces CIP 1967, projects were split out.</x:v>
      </x:c>
      <x:c r="F838" s="21" t="n">
        <x:v>55940</x:v>
      </x:c>
      <x:c r="G838" s="7" t="str">
        <x:v>Paths / access / bridges</x:v>
      </x:c>
      <x:c r="H838" s="7" t="str">
        <x:v>KGW November 2023 report; estimate dates not supplied</x:v>
      </x:c>
      <x:c r="I838" s="7" t="str">
        <x:v>https://flo.uri.sh/visualisation/15494950/embed</x:v>
      </x:c>
    </x:row>
    <x:row r="839" ht="46" customHeight="1">
      <x:c r="A839" s="8" t="n">
        <x:v>835</x:v>
      </x:c>
      <x:c r="B839" s="11" t="str">
        <x:v>Pier Park</x:v>
      </x:c>
      <x:c r="C839" s="11" t="str">
        <x:v>Sports field renovation, including ballfield light</x:v>
      </x:c>
      <x:c r="D839" s="11" t="str">
        <x:v>Pier Park</x:v>
      </x:c>
      <x:c r="E839" s="11" t="str">
        <x:v>Sports field renovation, replace ballfield lights.  Replaces CIP 1967, projects were split out.</x:v>
      </x:c>
      <x:c r="F839" s="20" t="n">
        <x:v>46616</x:v>
      </x:c>
      <x:c r="G839" s="8" t="str">
        <x:v>Fields / courts / play</x:v>
      </x:c>
      <x:c r="H839" s="8" t="str">
        <x:v>KGW November 2023 report; estimate dates not supplied</x:v>
      </x:c>
      <x:c r="I839" s="8" t="str">
        <x:v>https://flo.uri.sh/visualisation/15494950/embed</x:v>
      </x:c>
    </x:row>
    <x:row r="840" ht="46" customHeight="1">
      <x:c r="A840" s="7" t="n">
        <x:v>836</x:v>
      </x:c>
      <x:c r="B840" s="12" t="str">
        <x:v>Pier Park</x:v>
      </x:c>
      <x:c r="C840" s="12" t="str">
        <x:v>Picnic area improvements</x:v>
      </x:c>
      <x:c r="D840" s="12" t="str">
        <x:v>Pier Park</x:v>
      </x:c>
      <x:c r="E840" s="12" t="str">
        <x:v>Improve lights at picnic areas, and add ash bins and water access.  Replaces CIP 1967, projects were split out.</x:v>
      </x:c>
      <x:c r="F840" s="21" t="n">
        <x:v>46616</x:v>
      </x:c>
      <x:c r="G840" s="7" t="str">
        <x:v>Utilities / lighting / drainage</x:v>
      </x:c>
      <x:c r="H840" s="7" t="str">
        <x:v>KGW November 2023 report; estimate dates not supplied</x:v>
      </x:c>
      <x:c r="I840" s="7" t="str">
        <x:v>https://flo.uri.sh/visualisation/15494950/embed</x:v>
      </x:c>
    </x:row>
    <x:row r="841" ht="46" customHeight="1">
      <x:c r="A841" s="8" t="n">
        <x:v>837</x:v>
      </x:c>
      <x:c r="B841" s="11" t="str">
        <x:v>Pier Park</x:v>
      </x:c>
      <x:c r="C841" s="11" t="str">
        <x:v>Renovate shelter, add utilities.</x:v>
      </x:c>
      <x:c r="D841" s="11" t="str">
        <x:v>Pier Park</x:v>
      </x:c>
      <x:c r="E841" s="11" t="str">
        <x:v>Assess and renovate shelter roof, and add utilites - lights and electricity- and install a hose bib nearby.</x:v>
      </x:c>
      <x:c r="F841" s="20" t="n">
        <x:v>31699</x:v>
      </x:c>
      <x:c r="G841" s="8" t="str">
        <x:v>Buildings / building systems</x:v>
      </x:c>
      <x:c r="H841" s="8" t="str">
        <x:v>KGW November 2023 report; estimate dates not supplied</x:v>
      </x:c>
      <x:c r="I841" s="8" t="str">
        <x:v>https://flo.uri.sh/visualisation/15494950/embed</x:v>
      </x:c>
    </x:row>
    <x:row r="842" ht="46" customHeight="1">
      <x:c r="A842" s="7" t="n">
        <x:v>838</x:v>
      </x:c>
      <x:c r="B842" s="12" t="str">
        <x:v>Pier Park</x:v>
      </x:c>
      <x:c r="C842" s="12" t="str">
        <x:v>Renovate the Structure of Restroom building</x:v>
      </x:c>
      <x:c r="D842" s="12" t="str">
        <x:v>Restroom A</x:v>
      </x:c>
      <x:c r="E842" s="12" t="str">
        <x:v>Fix or replace the Structure that is rated 4 through buildings' assessment</x:v>
      </x:c>
      <x:c r="F842" s="21" t="n">
        <x:v>31171</x:v>
      </x:c>
      <x:c r="G842" s="7" t="str">
        <x:v>Buildings / building systems</x:v>
      </x:c>
      <x:c r="H842" s="7" t="str">
        <x:v>KGW November 2023 report; estimate dates not supplied</x:v>
      </x:c>
      <x:c r="I842" s="7" t="str">
        <x:v>https://flo.uri.sh/visualisation/15494950/embed</x:v>
      </x:c>
    </x:row>
    <x:row r="843" ht="46" customHeight="1">
      <x:c r="A843" s="8" t="n">
        <x:v>839</x:v>
      </x:c>
      <x:c r="B843" s="11" t="str">
        <x:v>Pier Park</x:v>
      </x:c>
      <x:c r="C843" s="11" t="str">
        <x:v>Pool Solar Thermal Installation</x:v>
      </x:c>
      <x:c r="D843" s="11" t="str">
        <x:v>Pier Park</x:v>
      </x:c>
      <x:c r="E843" s="11" t="str">
        <x:v>Installation of a new solar thermal hot water system.</x:v>
      </x:c>
      <x:c r="F843" s="20" t="n">
        <x:v>30961</x:v>
      </x:c>
      <x:c r="G843" s="8" t="str">
        <x:v>Pools / aquatics</x:v>
      </x:c>
      <x:c r="H843" s="8" t="str">
        <x:v>KGW November 2023 report; estimate dates not supplied</x:v>
      </x:c>
      <x:c r="I843" s="8" t="str">
        <x:v>https://flo.uri.sh/visualisation/15494950/embed</x:v>
      </x:c>
    </x:row>
    <x:row r="844" ht="46" customHeight="1">
      <x:c r="A844" s="7" t="n">
        <x:v>840</x:v>
      </x:c>
      <x:c r="B844" s="12" t="str">
        <x:v>Pier Park</x:v>
      </x:c>
      <x:c r="C844" s="12" t="str">
        <x:v>Pool Mehanical System Upgrades</x:v>
      </x:c>
      <x:c r="D844" s="12" t="str">
        <x:v>Pier Park</x:v>
      </x:c>
      <x:c r="E844" s="12" t="str">
        <x:v>Replacement of mechanical systems at Pier Pool.  This includes replacement of all the plumbing as well as the pumps, motors, pipes, strainer baskets, chemical controllers, sanitation systems and sand filters.  Additionally, install a UV system to help with the sanitation of the pool water.</x:v>
      </x:c>
      <x:c r="F844" s="21" t="n">
        <x:v>2398884</x:v>
      </x:c>
      <x:c r="G844" s="7" t="str">
        <x:v>Pools / aquatics</x:v>
      </x:c>
      <x:c r="H844" s="7" t="str">
        <x:v>KGW November 2023 report; estimate dates not supplied</x:v>
      </x:c>
      <x:c r="I844" s="7" t="str">
        <x:v>https://flo.uri.sh/visualisation/15494950/embed</x:v>
      </x:c>
    </x:row>
    <x:row r="845" ht="46" customHeight="1">
      <x:c r="A845" s="8" t="n">
        <x:v>841</x:v>
      </x:c>
      <x:c r="B845" s="11" t="str">
        <x:v>Pier Park</x:v>
      </x:c>
      <x:c r="C845" s="11" t="str">
        <x:v>Renovate sport field</x:v>
      </x:c>
      <x:c r="D845" s="11" t="str">
        <x:v>Ball Field 4, Sports Field 3</x:v>
      </x:c>
      <x:c r="E845" s="11" t="str">
        <x:v>Sport fields rated 4 or 5 in condition assessment</x:v>
      </x:c>
      <x:c r="F845" s="20" t="n">
        <x:v>2040004</x:v>
      </x:c>
      <x:c r="G845" s="8" t="str">
        <x:v>Fields / courts / play</x:v>
      </x:c>
      <x:c r="H845" s="8" t="str">
        <x:v>KGW November 2023 report; estimate dates not supplied</x:v>
      </x:c>
      <x:c r="I845" s="8" t="str">
        <x:v>https://flo.uri.sh/visualisation/15494950/embed</x:v>
      </x:c>
    </x:row>
    <x:row r="846" ht="46" customHeight="1">
      <x:c r="A846" s="7" t="n">
        <x:v>842</x:v>
      </x:c>
      <x:c r="B846" s="12" t="str">
        <x:v>Pier Park</x:v>
      </x:c>
      <x:c r="C846" s="12" t="str">
        <x:v>Replace Backflow preventer device</x:v>
      </x:c>
      <x:c r="D846" s="12" t="str">
        <x:v>Pool</x:v>
      </x:c>
      <x:c r="E846" s="12" t="str">
        <x:v>- Replace out of compliance backflow preventers
- Assembly: Double Check Valve Assembly (DCVA)
- Move to property line, if needed
- Hazard: Aquatics and ROW
- See components for detail</x:v>
      </x:c>
      <x:c r="F846" s="21" t="n">
        <x:v>18000</x:v>
      </x:c>
      <x:c r="G846" s="7" t="str">
        <x:v>Pools / aquatics</x:v>
      </x:c>
      <x:c r="H846" s="7" t="str">
        <x:v>KGW November 2023 report; estimate dates not supplied</x:v>
      </x:c>
      <x:c r="I846" s="7" t="str">
        <x:v>https://flo.uri.sh/visualisation/15494950/embed</x:v>
      </x:c>
    </x:row>
    <x:row r="847" ht="46" customHeight="1">
      <x:c r="A847" s="8" t="n">
        <x:v>843</x:v>
      </x:c>
      <x:c r="B847" s="11" t="str">
        <x:v>Pier Park</x:v>
      </x:c>
      <x:c r="C847" s="11" t="str">
        <x:v>Renovate the Roof of Maintenance building</x:v>
      </x:c>
      <x:c r="D847" s="11" t="str">
        <x:v>Maintenance Building</x:v>
      </x:c>
      <x:c r="E847" s="11" t="str">
        <x:v>Fix or replace the Roof that is rated 4 through buildings' assessment</x:v>
      </x:c>
      <x:c r="F847" s="20" t="n">
        <x:v>153994</x:v>
      </x:c>
      <x:c r="G847" s="8" t="str">
        <x:v>Buildings / building systems</x:v>
      </x:c>
      <x:c r="H847" s="8" t="str">
        <x:v>KGW November 2023 report; estimate dates not supplied</x:v>
      </x:c>
      <x:c r="I847" s="8" t="str">
        <x:v>https://flo.uri.sh/visualisation/15494950/embed</x:v>
      </x:c>
    </x:row>
    <x:row r="848" ht="46" customHeight="1">
      <x:c r="A848" s="7" t="n">
        <x:v>844</x:v>
      </x:c>
      <x:c r="B848" s="12" t="str">
        <x:v>Pier Park</x:v>
      </x:c>
      <x:c r="C848" s="12" t="str">
        <x:v>Repair Basketball surface</x:v>
      </x:c>
      <x:c r="D848" s="12" t="str">
        <x:v>Pier Park</x:v>
      </x:c>
      <x:c r="E848" s="12" t="str">
        <x:v>There is a large (around 2' long) gouge out of the court and another area, maybe 18"x18" where the top surface is stripped away.  Not sure what happened but I have a picture if you want it.  Trip hazard</x:v>
      </x:c>
      <x:c r="F848" s="21" t="n">
        <x:v>148177</x:v>
      </x:c>
      <x:c r="G848" s="7" t="str">
        <x:v>Fields / courts / play</x:v>
      </x:c>
      <x:c r="H848" s="7" t="str">
        <x:v>KGW November 2023 report; estimate dates not supplied</x:v>
      </x:c>
      <x:c r="I848" s="7" t="str">
        <x:v>https://flo.uri.sh/visualisation/15494950/embed</x:v>
      </x:c>
    </x:row>
    <x:row r="849" ht="46" customHeight="1">
      <x:c r="A849" s="8" t="n">
        <x:v>845</x:v>
      </x:c>
      <x:c r="B849" s="11" t="str">
        <x:v>Pier Park</x:v>
      </x:c>
      <x:c r="C849" s="11" t="str">
        <x:v>Irrigation upgrade</x:v>
      </x:c>
      <x:c r="D849" s="11" t="str">
        <x:v>Pier Park</x:v>
      </x:c>
      <x:c r="E849" s="11" t="str">
        <x:v>Upgrade the rest of the irrigation system.  Replaces CIP 1967, projects were split out.</x:v>
      </x:c>
      <x:c r="F849" s="20" t="n">
        <x:v>136353</x:v>
      </x:c>
      <x:c r="G849" s="8" t="str">
        <x:v>Utilities / lighting / drainage</x:v>
      </x:c>
      <x:c r="H849" s="8" t="str">
        <x:v>KGW November 2023 report; estimate dates not supplied</x:v>
      </x:c>
      <x:c r="I849" s="8" t="str">
        <x:v>https://flo.uri.sh/visualisation/15494950/embed</x:v>
      </x:c>
    </x:row>
    <x:row r="850" ht="46" customHeight="1">
      <x:c r="A850" s="7" t="n">
        <x:v>846</x:v>
      </x:c>
      <x:c r="B850" s="12" t="str">
        <x:v>Pier Park</x:v>
      </x:c>
      <x:c r="C850" s="12" t="str">
        <x:v>ESPC-III_Buildings Lighting to LEDs</x:v>
      </x:c>
      <x:c r="D850" s="12" t="str">
        <x:v>Maintenance</x:v>
      </x:c>
      <x:c r="E850" s="12" t="str">
        <x:v>LED conversion for Exterior and Interior Lights</x:v>
      </x:c>
      <x:c r="F850" s="21" t="n">
        <x:v>11760</x:v>
      </x:c>
      <x:c r="G850" s="7" t="str">
        <x:v>Buildings / building systems</x:v>
      </x:c>
      <x:c r="H850" s="7" t="str">
        <x:v>KGW November 2023 report; estimate dates not supplied</x:v>
      </x:c>
      <x:c r="I850" s="7" t="str">
        <x:v>https://flo.uri.sh/visualisation/15494950/embed</x:v>
      </x:c>
    </x:row>
    <x:row r="851" ht="46" customHeight="1">
      <x:c r="A851" s="8" t="n">
        <x:v>847</x:v>
      </x:c>
      <x:c r="B851" s="11" t="str">
        <x:v>Pier Park</x:v>
      </x:c>
      <x:c r="C851" s="11" t="str">
        <x:v>ESPC-III_Buildings Lighting to LEDs</x:v>
      </x:c>
      <x:c r="D851" s="11" t="str">
        <x:v>Restroom</x:v>
      </x:c>
      <x:c r="E851" s="11" t="str">
        <x:v>LED conversion for Exterior and Interior Lights</x:v>
      </x:c>
      <x:c r="F851" s="20" t="n">
        <x:v>11760</x:v>
      </x:c>
      <x:c r="G851" s="8" t="str">
        <x:v>Buildings / building systems</x:v>
      </x:c>
      <x:c r="H851" s="8" t="str">
        <x:v>KGW November 2023 report; estimate dates not supplied</x:v>
      </x:c>
      <x:c r="I851" s="8" t="str">
        <x:v>https://flo.uri.sh/visualisation/15494950/embed</x:v>
      </x:c>
    </x:row>
    <x:row r="852" ht="46" customHeight="1">
      <x:c r="A852" s="7" t="n">
        <x:v>848</x:v>
      </x:c>
      <x:c r="B852" s="12" t="str">
        <x:v>Pier Park</x:v>
      </x:c>
      <x:c r="C852" s="12" t="str">
        <x:v>Install gate to the enterance on Columbia blvd</x:v>
      </x:c>
      <x:c r="D852" s="12" t="str">
        <x:v>Pier Park</x:v>
      </x:c>
      <x:c r="E852" s="12" t="str">
        <x:v>Problem: The service entrance on Columbia blvd is only closed with a chain.  This chain has now been cut 5 times 
Solution: Install a real, metal gate at this location and locate this gate farther back into the park so we can park in front of the gate to unlock it.</x:v>
      </x:c>
      <x:c r="F852" s="21" t="n">
        <x:v>11760</x:v>
      </x:c>
      <x:c r="G852" s="7" t="str">
        <x:v>Other site infrastructure</x:v>
      </x:c>
      <x:c r="H852" s="7" t="str">
        <x:v>KGW November 2023 report; estimate dates not supplied</x:v>
      </x:c>
      <x:c r="I852" s="7" t="str">
        <x:v>https://flo.uri.sh/visualisation/15494950/embed</x:v>
      </x:c>
    </x:row>
    <x:row r="853" ht="46" customHeight="1">
      <x:c r="A853" s="8" t="n">
        <x:v>849</x:v>
      </x:c>
      <x:c r="B853" s="11" t="str">
        <x:v>Pier Park</x:v>
      </x:c>
      <x:c r="C853" s="11" t="str">
        <x:v>Repair the net post</x:v>
      </x:c>
      <x:c r="D853" s="11" t="str">
        <x:v>Pier Park</x:v>
      </x:c>
      <x:c r="E853" s="11" t="str">
        <x:v>The net post in tennis courts has been bent by vandals so the net no longer hangs properly</x:v>
      </x:c>
      <x:c r="F853" s="20" t="n">
        <x:v>11760</x:v>
      </x:c>
      <x:c r="G853" s="8" t="str">
        <x:v>Fields / courts / play</x:v>
      </x:c>
      <x:c r="H853" s="8" t="str">
        <x:v>KGW November 2023 report; estimate dates not supplied</x:v>
      </x:c>
      <x:c r="I853" s="8" t="str">
        <x:v>https://flo.uri.sh/visualisation/15494950/embed</x:v>
      </x:c>
    </x:row>
    <x:row r="854" ht="46" customHeight="1">
      <x:c r="A854" s="7" t="n">
        <x:v>850</x:v>
      </x:c>
      <x:c r="B854" s="12" t="str">
        <x:v>Pioneer Courthouse Square</x:v>
      </x:c>
      <x:c r="C854" s="12" t="str">
        <x:v>Evaluation HVAC system</x:v>
      </x:c>
      <x:c r="D854" s="12" t="str">
        <x:v>Pioneer Courthouse Square</x:v>
      </x:c>
      <x:c r="E854" s="12" t="str">
        <x:v>The thermal comfort, heat gain/heat loss, and duct air delivery from the HVAC system needs to be evaluated as there is a steady stream of complaints regarding the thermal comfort in tenant spaces.</x:v>
      </x:c>
      <x:c r="F854" s="21" t="n">
        <x:v>35281</x:v>
      </x:c>
      <x:c r="G854" s="7" t="str">
        <x:v>Buildings / building systems</x:v>
      </x:c>
      <x:c r="H854" s="7" t="str">
        <x:v>KGW November 2023 report; estimate dates not supplied</x:v>
      </x:c>
      <x:c r="I854" s="7" t="str">
        <x:v>https://flo.uri.sh/visualisation/15494950/embed</x:v>
      </x:c>
    </x:row>
    <x:row r="855" ht="46" customHeight="1">
      <x:c r="A855" s="8" t="n">
        <x:v>851</x:v>
      </x:c>
      <x:c r="B855" s="11" t="str">
        <x:v>Pioneer Courthouse Square</x:v>
      </x:c>
      <x:c r="C855" s="11" t="str">
        <x:v>Replace old HVAC system</x:v>
      </x:c>
      <x:c r="D855" s="11" t="str">
        <x:v>Trimet Visitors Information</x:v>
      </x:c>
      <x:c r="E855" s="11" t="str">
        <x:v>Placeholder: replace HVAC system that was installed before 2000</x:v>
      </x:c>
      <x:c r="F855" s="20" t="n">
        <x:v>140245</x:v>
      </x:c>
      <x:c r="G855" s="8" t="str">
        <x:v>Buildings / building systems</x:v>
      </x:c>
      <x:c r="H855" s="8" t="str">
        <x:v>KGW November 2023 report; estimate dates not supplied</x:v>
      </x:c>
      <x:c r="I855" s="8" t="str">
        <x:v>https://flo.uri.sh/visualisation/15494950/embed</x:v>
      </x:c>
    </x:row>
    <x:row r="856" ht="46" customHeight="1">
      <x:c r="A856" s="7" t="n">
        <x:v>852</x:v>
      </x:c>
      <x:c r="B856" s="12" t="str">
        <x:v>Pioneer Courthouse Square</x:v>
      </x:c>
      <x:c r="C856" s="12" t="str">
        <x:v>ESPC-III_Buildings Lighting to LEDs</x:v>
      </x:c>
      <x:c r="D856" s="12" t="str">
        <x:v>Visitor Services</x:v>
      </x:c>
      <x:c r="E856" s="12" t="str">
        <x:v>LED conversion for Exterior and Interior Lights</x:v>
      </x:c>
      <x:c r="F856" s="21" t="n">
        <x:v>11760</x:v>
      </x:c>
      <x:c r="G856" s="7" t="str">
        <x:v>Buildings / building systems</x:v>
      </x:c>
      <x:c r="H856" s="7" t="str">
        <x:v>KGW November 2023 report; estimate dates not supplied</x:v>
      </x:c>
      <x:c r="I856" s="7" t="str">
        <x:v>https://flo.uri.sh/visualisation/15494950/embed</x:v>
      </x:c>
    </x:row>
    <x:row r="857" ht="46" customHeight="1">
      <x:c r="A857" s="8" t="n">
        <x:v>853</x:v>
      </x:c>
      <x:c r="B857" s="11" t="str">
        <x:v>Pioneer Courthouse Square</x:v>
      </x:c>
      <x:c r="C857" s="11" t="str">
        <x:v>ESPC-III_Buildings Lighting to LEDs</x:v>
      </x:c>
      <x:c r="D857" s="11" t="str">
        <x:v>Restroom</x:v>
      </x:c>
      <x:c r="E857" s="11" t="str">
        <x:v>LED conversion for Exterior and Interior Lights</x:v>
      </x:c>
      <x:c r="F857" s="20" t="n">
        <x:v>11760</x:v>
      </x:c>
      <x:c r="G857" s="8" t="str">
        <x:v>Buildings / building systems</x:v>
      </x:c>
      <x:c r="H857" s="8" t="str">
        <x:v>KGW November 2023 report; estimate dates not supplied</x:v>
      </x:c>
      <x:c r="I857" s="8" t="str">
        <x:v>https://flo.uri.sh/visualisation/15494950/embed</x:v>
      </x:c>
    </x:row>
    <x:row r="858" ht="46" customHeight="1">
      <x:c r="A858" s="7" t="n">
        <x:v>854</x:v>
      </x:c>
      <x:c r="B858" s="12" t="str">
        <x:v>Pittock Acres Park</x:v>
      </x:c>
      <x:c r="C858" s="12" t="str">
        <x:v>Plumbing Repair</x:v>
      </x:c>
      <x:c r="D858" s="12" t="str">
        <x:v>Pittock Mansion</x:v>
      </x:c>
      <x:c r="E858" s="12" t="str">
        <x:v>replace domestic water piping</x:v>
      </x:c>
      <x:c r="F858" s="21" t="n">
        <x:v>617817</x:v>
      </x:c>
      <x:c r="G858" s="7" t="str">
        <x:v>Utilities / lighting / drainage</x:v>
      </x:c>
      <x:c r="H858" s="7" t="str">
        <x:v>KGW November 2023 report; estimate dates not supplied</x:v>
      </x:c>
      <x:c r="I858" s="7" t="str">
        <x:v>https://flo.uri.sh/visualisation/15494950/embed</x:v>
      </x:c>
    </x:row>
    <x:row r="859" ht="46" customHeight="1">
      <x:c r="A859" s="8" t="n">
        <x:v>855</x:v>
      </x:c>
      <x:c r="B859" s="11" t="str">
        <x:v>Pittock Acres Park</x:v>
      </x:c>
      <x:c r="C859" s="11" t="str">
        <x:v>Road landslide repair</x:v>
      </x:c>
      <x:c r="D859" s="11" t="str">
        <x:v>Pittock Acres Park</x:v>
      </x:c>
      <x:c r="E859" s="11" t="str">
        <x:v>- Soil sliding from uphill towards the road leading to Pittock Mansion. There is a risk of more soil sliding and tree falling onto the street. It is safety hazard
- Concern is increasing in rainy season.
- Study possible improvement options for the road into the Pittock Mansion to address landslide / slope instability issues.</x:v>
      </x:c>
      <x:c r="F859" s="20" t="n">
        <x:v>588024</x:v>
      </x:c>
      <x:c r="G859" s="8" t="str">
        <x:v>Other site infrastructure</x:v>
      </x:c>
      <x:c r="H859" s="8" t="str">
        <x:v>KGW November 2023 report; estimate dates not supplied</x:v>
      </x:c>
      <x:c r="I859" s="8" t="str">
        <x:v>https://flo.uri.sh/visualisation/15494950/embed</x:v>
      </x:c>
    </x:row>
    <x:row r="860" ht="46" customHeight="1">
      <x:c r="A860" s="7" t="n">
        <x:v>856</x:v>
      </x:c>
      <x:c r="B860" s="12" t="str">
        <x:v>Pittock Acres Park</x:v>
      </x:c>
      <x:c r="C860" s="12" t="str">
        <x:v>Upgrade Fire Protection</x:v>
      </x:c>
      <x:c r="D860" s="12" t="str">
        <x:v>Pittock Mansion</x:v>
      </x:c>
      <x:c r="E860" s="12" t="str">
        <x:v>Install automatic sprinklers in the Mansion.</x:v>
      </x:c>
      <x:c r="F860" s="21" t="n">
        <x:v>479732</x:v>
      </x:c>
      <x:c r="G860" s="7" t="str">
        <x:v>Other site infrastructure</x:v>
      </x:c>
      <x:c r="H860" s="7" t="str">
        <x:v>KGW November 2023 report; estimate dates not supplied</x:v>
      </x:c>
      <x:c r="I860" s="7" t="str">
        <x:v>https://flo.uri.sh/visualisation/15494950/embed</x:v>
      </x:c>
    </x:row>
    <x:row r="861" ht="46" customHeight="1">
      <x:c r="A861" s="8" t="n">
        <x:v>857</x:v>
      </x:c>
      <x:c r="B861" s="11" t="str">
        <x:v>Pittock Acres Park</x:v>
      </x:c>
      <x:c r="C861" s="11" t="str">
        <x:v>Pathway Renovation</x:v>
      </x:c>
      <x:c r="D861" s="11" t="str">
        <x:v>Pittock Acres Park</x:v>
      </x:c>
      <x:c r="E861" s="11" t="str">
        <x:v>Replace the damaged pathway, trails and sidewalks that have been rated as 5 in Pathway assessment</x:v>
      </x:c>
      <x:c r="F861" s="20" t="n">
        <x:v>47925</x:v>
      </x:c>
      <x:c r="G861" s="8" t="str">
        <x:v>Paths / access / bridges</x:v>
      </x:c>
      <x:c r="H861" s="8" t="str">
        <x:v>KGW November 2023 report; estimate dates not supplied</x:v>
      </x:c>
      <x:c r="I861" s="8" t="str">
        <x:v>https://flo.uri.sh/visualisation/15494950/embed</x:v>
      </x:c>
    </x:row>
    <x:row r="862" ht="46" customHeight="1">
      <x:c r="A862" s="7" t="n">
        <x:v>858</x:v>
      </x:c>
      <x:c r="B862" s="12" t="str">
        <x:v>Pittock Acres Park</x:v>
      </x:c>
      <x:c r="C862" s="12" t="str">
        <x:v>Renovate the Roof of Arts/Cultural building</x:v>
      </x:c>
      <x:c r="D862" s="12" t="str">
        <x:v>Tea House</x:v>
      </x:c>
      <x:c r="E862" s="12" t="str">
        <x:v>Fix or replace the Roof that is rated 4 through buildings' assessment</x:v>
      </x:c>
      <x:c r="F862" s="21" t="n">
        <x:v>465379</x:v>
      </x:c>
      <x:c r="G862" s="7" t="str">
        <x:v>Buildings / building systems</x:v>
      </x:c>
      <x:c r="H862" s="7" t="str">
        <x:v>KGW November 2023 report; estimate dates not supplied</x:v>
      </x:c>
      <x:c r="I862" s="7" t="str">
        <x:v>https://flo.uri.sh/visualisation/15494950/embed</x:v>
      </x:c>
    </x:row>
    <x:row r="863" ht="46" customHeight="1">
      <x:c r="A863" s="8" t="n">
        <x:v>859</x:v>
      </x:c>
      <x:c r="B863" s="11" t="str">
        <x:v>Pittock Acres Park</x:v>
      </x:c>
      <x:c r="C863" s="11" t="str">
        <x:v>Basement Wall Repair</x:v>
      </x:c>
      <x:c r="D863" s="11" t="str">
        <x:v>Pittock Mansion</x:v>
      </x:c>
      <x:c r="E863" s="11" t="str">
        <x:v>- There is a reoccurring leak in the basement of Pittock Mansion. This leak typically occurs after periods of heavy rain. It has been theorized that water is seeping through the foundation.
Repair leaks in the wall and through windows</x:v>
      </x:c>
      <x:c r="F863" s="20" t="n">
        <x:v>308908</x:v>
      </x:c>
      <x:c r="G863" s="8" t="str">
        <x:v>Utilities / lighting / drainage</x:v>
      </x:c>
      <x:c r="H863" s="8" t="str">
        <x:v>KGW November 2023 report; estimate dates not supplied</x:v>
      </x:c>
      <x:c r="I863" s="8" t="str">
        <x:v>https://flo.uri.sh/visualisation/15494950/embed</x:v>
      </x:c>
    </x:row>
    <x:row r="864" ht="46" customHeight="1">
      <x:c r="A864" s="7" t="n">
        <x:v>860</x:v>
      </x:c>
      <x:c r="B864" s="12" t="str">
        <x:v>Pittock Acres Park</x:v>
      </x:c>
      <x:c r="C864" s="12" t="str">
        <x:v>Gate Lodge Drainage Repair</x:v>
      </x:c>
      <x:c r="D864" s="12" t="str">
        <x:v>Pittock Mansion</x:v>
      </x:c>
      <x:c r="E864" s="12" t="str">
        <x:v>Re-grade and improve drainage to prevent basement and kitchen flooding</x:v>
      </x:c>
      <x:c r="F864" s="21" t="n">
        <x:v>308908</x:v>
      </x:c>
      <x:c r="G864" s="7" t="str">
        <x:v>Utilities / lighting / drainage</x:v>
      </x:c>
      <x:c r="H864" s="7" t="str">
        <x:v>KGW November 2023 report; estimate dates not supplied</x:v>
      </x:c>
      <x:c r="I864" s="7" t="str">
        <x:v>https://flo.uri.sh/visualisation/15494950/embed</x:v>
      </x:c>
    </x:row>
    <x:row r="865" ht="46" customHeight="1">
      <x:c r="A865" s="8" t="n">
        <x:v>861</x:v>
      </x:c>
      <x:c r="B865" s="11" t="str">
        <x:v>Pittock Acres Park</x:v>
      </x:c>
      <x:c r="C865" s="11" t="str">
        <x:v>Seismic Retrofit Design</x:v>
      </x:c>
      <x:c r="D865" s="11" t="str">
        <x:v>Pittock Mansion</x:v>
      </x:c>
      <x:c r="E865" s="11" t="str">
        <x:v>design seismic retrofit to collapse prevention or lifesafety standard. Pittock is one of PP&amp;R's 24 URM buildings. Phase 2 Seismic upgrade</x:v>
      </x:c>
      <x:c r="F865" s="20" t="n">
        <x:v>123563</x:v>
      </x:c>
      <x:c r="G865" s="8" t="str">
        <x:v>Buildings / building systems</x:v>
      </x:c>
      <x:c r="H865" s="8" t="str">
        <x:v>KGW November 2023 report; estimate dates not supplied</x:v>
      </x:c>
      <x:c r="I865" s="8" t="str">
        <x:v>https://flo.uri.sh/visualisation/15494950/embed</x:v>
      </x:c>
    </x:row>
    <x:row r="866" ht="46" customHeight="1">
      <x:c r="A866" s="7" t="n">
        <x:v>862</x:v>
      </x:c>
      <x:c r="B866" s="12" t="str">
        <x:v>Pittock Acres Park</x:v>
      </x:c>
      <x:c r="C866" s="12" t="str">
        <x:v>Replace old HVAC system</x:v>
      </x:c>
      <x:c r="D866" s="12" t="str">
        <x:v>Pittock Mansion</x:v>
      </x:c>
      <x:c r="E866" s="12" t="str">
        <x:v>Placeholder: replace HVAC system that was installed before 2000</x:v>
      </x:c>
      <x:c r="F866" s="21" t="n">
        <x:v>121496</x:v>
      </x:c>
      <x:c r="G866" s="7" t="str">
        <x:v>Buildings / building systems</x:v>
      </x:c>
      <x:c r="H866" s="7" t="str">
        <x:v>KGW November 2023 report; estimate dates not supplied</x:v>
      </x:c>
      <x:c r="I866" s="7" t="str">
        <x:v>https://flo.uri.sh/visualisation/15494950/embed</x:v>
      </x:c>
    </x:row>
    <x:row r="867" ht="46" customHeight="1">
      <x:c r="A867" s="8" t="n">
        <x:v>863</x:v>
      </x:c>
      <x:c r="B867" s="11" t="str">
        <x:v>Pittock Acres Park</x:v>
      </x:c>
      <x:c r="C867" s="11" t="str">
        <x:v>Paint exterior window frames and outbuilding</x:v>
      </x:c>
      <x:c r="D867" s="11" t="str">
        <x:v>Pittock Mansion</x:v>
      </x:c>
      <x:c r="E867" s="11" t="str">
        <x:v>Exterior walls and window frame is deteriorating because of weather effect. Need surface treatment for frames and walls before repainting</x:v>
      </x:c>
      <x:c r="F867" s="20" t="n">
        <x:v>117605</x:v>
      </x:c>
      <x:c r="G867" s="8" t="str">
        <x:v>Buildings / building systems</x:v>
      </x:c>
      <x:c r="H867" s="8" t="str">
        <x:v>KGW November 2023 report; estimate dates not supplied</x:v>
      </x:c>
      <x:c r="I867" s="8" t="str">
        <x:v>https://flo.uri.sh/visualisation/15494950/embed</x:v>
      </x:c>
    </x:row>
    <x:row r="868" ht="46" customHeight="1">
      <x:c r="A868" s="7" t="n">
        <x:v>864</x:v>
      </x:c>
      <x:c r="B868" s="12" t="str">
        <x:v>Pittock Acres Park</x:v>
      </x:c>
      <x:c r="C868" s="12" t="str">
        <x:v>ESPC-III_Buildings Lighting to LEDs</x:v>
      </x:c>
      <x:c r="D868" s="12" t="str">
        <x:v>Arts/Cultural</x:v>
      </x:c>
      <x:c r="E868" s="12" t="str">
        <x:v>LED conversion for Exterior and Interior Lights</x:v>
      </x:c>
      <x:c r="F868" s="21" t="n">
        <x:v>11760</x:v>
      </x:c>
      <x:c r="G868" s="7" t="str">
        <x:v>Buildings / building systems</x:v>
      </x:c>
      <x:c r="H868" s="7" t="str">
        <x:v>KGW November 2023 report; estimate dates not supplied</x:v>
      </x:c>
      <x:c r="I868" s="7" t="str">
        <x:v>https://flo.uri.sh/visualisation/15494950/embed</x:v>
      </x:c>
    </x:row>
    <x:row r="869" ht="46" customHeight="1">
      <x:c r="A869" s="8" t="n">
        <x:v>865</x:v>
      </x:c>
      <x:c r="B869" s="11" t="str">
        <x:v>Pittock Acres Park</x:v>
      </x:c>
      <x:c r="C869" s="11" t="str">
        <x:v>Replace old HVAC system</x:v>
      </x:c>
      <x:c r="D869" s="11" t="str">
        <x:v>Tea House</x:v>
      </x:c>
      <x:c r="E869" s="11" t="str">
        <x:v>Placeholder: replace HVAC system that was installed before 2000</x:v>
      </x:c>
      <x:c r="F869" s="20" t="n">
        <x:v>11571</x:v>
      </x:c>
      <x:c r="G869" s="8" t="str">
        <x:v>Buildings / building systems</x:v>
      </x:c>
      <x:c r="H869" s="8" t="str">
        <x:v>KGW November 2023 report; estimate dates not supplied</x:v>
      </x:c>
      <x:c r="I869" s="8" t="str">
        <x:v>https://flo.uri.sh/visualisation/15494950/embed</x:v>
      </x:c>
    </x:row>
    <x:row r="870" ht="46" customHeight="1">
      <x:c r="A870" s="7" t="n">
        <x:v>866</x:v>
      </x:c>
      <x:c r="B870" s="12" t="str">
        <x:v>Pittock Acres Park</x:v>
      </x:c>
      <x:c r="C870" s="12" t="str">
        <x:v>Replace old HVAC system</x:v>
      </x:c>
      <x:c r="D870" s="12" t="str">
        <x:v>Garage</x:v>
      </x:c>
      <x:c r="E870" s="12" t="str">
        <x:v>Placeholder: replace HVAC system that was installed before 2000</x:v>
      </x:c>
      <x:c r="F870" s="21" t="n">
        <x:v>11571</x:v>
      </x:c>
      <x:c r="G870" s="7" t="str">
        <x:v>Buildings / building systems</x:v>
      </x:c>
      <x:c r="H870" s="7" t="str">
        <x:v>KGW November 2023 report; estimate dates not supplied</x:v>
      </x:c>
      <x:c r="I870" s="7" t="str">
        <x:v>https://flo.uri.sh/visualisation/15494950/embed</x:v>
      </x:c>
    </x:row>
    <x:row r="871" ht="46" customHeight="1">
      <x:c r="A871" s="8" t="n">
        <x:v>867</x:v>
      </x:c>
      <x:c r="B871" s="11" t="str">
        <x:v>Pittock Acres Park</x:v>
      </x:c>
      <x:c r="C871" s="11" t="str">
        <x:v>Back portico on the tea house</x:v>
      </x:c>
      <x:c r="D871" s="11" t="str">
        <x:v>Pittock Mansion Tea House</x:v>
      </x:c>
      <x:c r="E871" s="11" t="str">
        <x:v>Repair rotting wood on back portico in the tea house.  Similar to repair of the front portico</x:v>
      </x:c>
      <x:c r="F871" s="20" t="n">
        <x:v>109739</x:v>
      </x:c>
      <x:c r="G871" s="8" t="str">
        <x:v>Buildings / building systems</x:v>
      </x:c>
      <x:c r="H871" s="8" t="str">
        <x:v>KGW November 2023 report; estimate dates not supplied</x:v>
      </x:c>
      <x:c r="I871" s="8" t="str">
        <x:v>https://flo.uri.sh/visualisation/15494950/embed</x:v>
      </x:c>
    </x:row>
    <x:row r="872" ht="46" customHeight="1">
      <x:c r="A872" s="7" t="n">
        <x:v>868</x:v>
      </x:c>
      <x:c r="B872" s="12" t="str">
        <x:v>Pittock Acres Park</x:v>
      </x:c>
      <x:c r="C872" s="12" t="str">
        <x:v>Roof Repair</x:v>
      </x:c>
      <x:c r="D872" s="12" t="str">
        <x:v>Pittock Mansion</x:v>
      </x:c>
      <x:c r="E872" s="12" t="str">
        <x:v>- Repair / replace copper flashings, gutters, underlayment, and ridge tiles
- re-configure northwest roof drain to drain properly</x:v>
      </x:c>
      <x:c r="F872" s="21" t="n">
        <x:v>1853451</x:v>
      </x:c>
      <x:c r="G872" s="7" t="str">
        <x:v>Buildings / building systems</x:v>
      </x:c>
      <x:c r="H872" s="7" t="str">
        <x:v>KGW November 2023 report; estimate dates not supplied</x:v>
      </x:c>
      <x:c r="I872" s="7" t="str">
        <x:v>https://flo.uri.sh/visualisation/15494950/embed</x:v>
      </x:c>
    </x:row>
    <x:row r="873" ht="46" customHeight="1">
      <x:c r="A873" s="8" t="n">
        <x:v>869</x:v>
      </x:c>
      <x:c r="B873" s="11" t="str">
        <x:v>Pittock Acres Park</x:v>
      </x:c>
      <x:c r="C873" s="11" t="str">
        <x:v>Stone Repair</x:v>
      </x:c>
      <x:c r="D873" s="11" t="str">
        <x:v>Pittock Mansion</x:v>
      </x:c>
      <x:c r="E873" s="11" t="str">
        <x:v>repair tenino sandstone</x:v>
      </x:c>
      <x:c r="F873" s="20" t="n">
        <x:v>1482761</x:v>
      </x:c>
      <x:c r="G873" s="8" t="str">
        <x:v>Other site infrastructure</x:v>
      </x:c>
      <x:c r="H873" s="8" t="str">
        <x:v>KGW November 2023 report; estimate dates not supplied</x:v>
      </x:c>
      <x:c r="I873" s="8" t="str">
        <x:v>https://flo.uri.sh/visualisation/15494950/embed</x:v>
      </x:c>
    </x:row>
    <x:row r="874" ht="46" customHeight="1">
      <x:c r="A874" s="7" t="n">
        <x:v>870</x:v>
      </x:c>
      <x:c r="B874" s="12" t="str">
        <x:v>PlayHaven Park</x:v>
      </x:c>
      <x:c r="C874" s="12" t="str">
        <x:v>Pathway Renovation</x:v>
      </x:c>
      <x:c r="D874" s="12" t="str">
        <x:v>PlayHaven Park</x:v>
      </x:c>
      <x:c r="E874" s="12" t="str">
        <x:v>Replace the damaged pathway, trails and sidewalks that have been rated as 4 and 5 in Pathway assessment</x:v>
      </x:c>
      <x:c r="F874" s="21" t="n">
        <x:v>64683</x:v>
      </x:c>
      <x:c r="G874" s="7" t="str">
        <x:v>Paths / access / bridges</x:v>
      </x:c>
      <x:c r="H874" s="7" t="str">
        <x:v>KGW November 2023 report; estimate dates not supplied</x:v>
      </x:c>
      <x:c r="I874" s="7" t="str">
        <x:v>https://flo.uri.sh/visualisation/15494950/embed</x:v>
      </x:c>
    </x:row>
    <x:row r="875" ht="46" customHeight="1">
      <x:c r="A875" s="8" t="n">
        <x:v>871</x:v>
      </x:c>
      <x:c r="B875" s="11" t="str">
        <x:v>PlayHaven Park</x:v>
      </x:c>
      <x:c r="C875" s="11" t="str">
        <x:v>Playground renovation</x:v>
      </x:c>
      <x:c r="D875" s="11" t="str">
        <x:v>Play Area A</x:v>
      </x:c>
      <x:c r="E875" s="11" t="str">
        <x:v>Renovation or repair playground that was rated as 4
 during playground assessment in 2020</x:v>
      </x:c>
      <x:c r="F875" s="20" t="n">
        <x:v>190567</x:v>
      </x:c>
      <x:c r="G875" s="8" t="str">
        <x:v>Fields / courts / play</x:v>
      </x:c>
      <x:c r="H875" s="8" t="str">
        <x:v>KGW November 2023 report; estimate dates not supplied</x:v>
      </x:c>
      <x:c r="I875" s="8" t="str">
        <x:v>https://flo.uri.sh/visualisation/15494950/embed</x:v>
      </x:c>
    </x:row>
    <x:row r="876" ht="46" customHeight="1">
      <x:c r="A876" s="7" t="n">
        <x:v>872</x:v>
      </x:c>
      <x:c r="B876" s="12" t="str">
        <x:v>PlayHaven Park</x:v>
      </x:c>
      <x:c r="C876" s="12" t="str">
        <x:v>Renovate Basketball sport court at PlayHaven Park</x:v>
      </x:c>
      <x:c r="D876" s="12" t="str">
        <x:v>Basketball Court</x:v>
      </x:c>
      <x:c r="E876" s="12" t="str">
        <x:v>Fix or replace the Asphalt surface of the court that is rated 4 through courts' assessment</x:v>
      </x:c>
      <x:c r="F876" s="21" t="n">
        <x:v>169107</x:v>
      </x:c>
      <x:c r="G876" s="7" t="str">
        <x:v>Fields / courts / play</x:v>
      </x:c>
      <x:c r="H876" s="7" t="str">
        <x:v>KGW November 2023 report; estimate dates not supplied</x:v>
      </x:c>
      <x:c r="I876" s="7" t="str">
        <x:v>https://flo.uri.sh/visualisation/15494950/embed</x:v>
      </x:c>
    </x:row>
    <x:row r="877" ht="46" customHeight="1">
      <x:c r="A877" s="8" t="n">
        <x:v>873</x:v>
      </x:c>
      <x:c r="B877" s="11" t="str">
        <x:v>Plaza Blocks</x:v>
      </x:c>
      <x:c r="C877" s="11" t="str">
        <x:v>Renovate the Roof of Restroom building</x:v>
      </x:c>
      <x:c r="D877" s="11" t="str">
        <x:v>Restroom A</x:v>
      </x:c>
      <x:c r="E877" s="11" t="str">
        <x:v>Fix or replace the Roof that is rated 4 through buildings' assessment</x:v>
      </x:c>
      <x:c r="F877" s="20" t="n">
        <x:v>69849</x:v>
      </x:c>
      <x:c r="G877" s="8" t="str">
        <x:v>Buildings / building systems</x:v>
      </x:c>
      <x:c r="H877" s="8" t="str">
        <x:v>KGW November 2023 report; estimate dates not supplied</x:v>
      </x:c>
      <x:c r="I877" s="8" t="str">
        <x:v>https://flo.uri.sh/visualisation/15494950/embed</x:v>
      </x:c>
    </x:row>
    <x:row r="878" ht="46" customHeight="1">
      <x:c r="A878" s="7" t="n">
        <x:v>874</x:v>
      </x:c>
      <x:c r="B878" s="12" t="str">
        <x:v>Plaza Blocks</x:v>
      </x:c>
      <x:c r="C878" s="12" t="str">
        <x:v>Renovate the Roof of Restroom building</x:v>
      </x:c>
      <x:c r="D878" s="12" t="str">
        <x:v>Restroom B</x:v>
      </x:c>
      <x:c r="E878" s="12" t="str">
        <x:v>Fix or replace the Roof that is rated 4 through buildings' assessment</x:v>
      </x:c>
      <x:c r="F878" s="21" t="n">
        <x:v>69849</x:v>
      </x:c>
      <x:c r="G878" s="7" t="str">
        <x:v>Buildings / building systems</x:v>
      </x:c>
      <x:c r="H878" s="7" t="str">
        <x:v>KGW November 2023 report; estimate dates not supplied</x:v>
      </x:c>
      <x:c r="I878" s="7" t="str">
        <x:v>https://flo.uri.sh/visualisation/15494950/embed</x:v>
      </x:c>
    </x:row>
    <x:row r="879" ht="46" customHeight="1">
      <x:c r="A879" s="8" t="n">
        <x:v>875</x:v>
      </x:c>
      <x:c r="B879" s="11" t="str">
        <x:v>Plaza Blocks</x:v>
      </x:c>
      <x:c r="C879" s="11" t="str">
        <x:v>ESPC-III_Buildings Lighting to LEDs</x:v>
      </x:c>
      <x:c r="D879" s="11" t="str">
        <x:v>Restroom</x:v>
      </x:c>
      <x:c r="E879" s="11" t="str">
        <x:v>LED conversion for Exterior and Interior Lights</x:v>
      </x:c>
      <x:c r="F879" s="20" t="n">
        <x:v>11760</x:v>
      </x:c>
      <x:c r="G879" s="8" t="str">
        <x:v>Buildings / building systems</x:v>
      </x:c>
      <x:c r="H879" s="8" t="str">
        <x:v>KGW November 2023 report; estimate dates not supplied</x:v>
      </x:c>
      <x:c r="I879" s="8" t="str">
        <x:v>https://flo.uri.sh/visualisation/15494950/embed</x:v>
      </x:c>
    </x:row>
    <x:row r="880" ht="46" customHeight="1">
      <x:c r="A880" s="7" t="n">
        <x:v>876</x:v>
      </x:c>
      <x:c r="B880" s="12" t="str">
        <x:v>Plaza Blocks</x:v>
      </x:c>
      <x:c r="C880" s="12" t="str">
        <x:v>Replace Backflow preventer device</x:v>
      </x:c>
      <x:c r="D880" s="12" t="str">
        <x:v>Property</x:v>
      </x:c>
      <x:c r="E880" s="12" t="str">
        <x:v>- Replace out of compliance backflow preventer
- Assembly: Double Check Valve Assembly (DCVA)
- Premises Isolation (PI): 2" Double Check (DC) + Vault. Serial # AF504
- Move to property line, if needed
- Hazard: Right of Way (ROW)</x:v>
      </x:c>
      <x:c r="F880" s="21" t="n">
        <x:v>10000</x:v>
      </x:c>
      <x:c r="G880" s="7" t="str">
        <x:v>Utilities / lighting / drainage</x:v>
      </x:c>
      <x:c r="H880" s="7" t="str">
        <x:v>KGW November 2023 report; estimate dates not supplied</x:v>
      </x:c>
      <x:c r="I880" s="7" t="str">
        <x:v>https://flo.uri.sh/visualisation/15494950/embed</x:v>
      </x:c>
    </x:row>
    <x:row r="881" ht="46" customHeight="1">
      <x:c r="A881" s="8" t="n">
        <x:v>877</x:v>
      </x:c>
      <x:c r="B881" s="11" t="str">
        <x:v>Portland Heights Park</x:v>
      </x:c>
      <x:c r="C881" s="11" t="str">
        <x:v>Renovate Tennis sport court at Portland Heights Park</x:v>
      </x:c>
      <x:c r="D881" s="11" t="str">
        <x:v>Tennis Court</x:v>
      </x:c>
      <x:c r="E881" s="11" t="str">
        <x:v>Fix or replace the Asphalt surface of the court that is rated 4 through courts' assessment</x:v>
      </x:c>
      <x:c r="F881" s="20" t="n">
        <x:v>976516</x:v>
      </x:c>
      <x:c r="G881" s="8" t="str">
        <x:v>Fields / courts / play</x:v>
      </x:c>
      <x:c r="H881" s="8" t="str">
        <x:v>KGW November 2023 report; estimate dates not supplied</x:v>
      </x:c>
      <x:c r="I881" s="8" t="str">
        <x:v>https://flo.uri.sh/visualisation/15494950/embed</x:v>
      </x:c>
    </x:row>
    <x:row r="882" ht="46" customHeight="1">
      <x:c r="A882" s="7" t="n">
        <x:v>878</x:v>
      </x:c>
      <x:c r="B882" s="12" t="str">
        <x:v>Portland Heights Park</x:v>
      </x:c>
      <x:c r="C882" s="12" t="str">
        <x:v>Renovate sport field</x:v>
      </x:c>
      <x:c r="D882" s="12" t="str">
        <x:v>Sports Field 1</x:v>
      </x:c>
      <x:c r="E882" s="12" t="str">
        <x:v>Sport fields rated 4 or 5 in condition assessment</x:v>
      </x:c>
      <x:c r="F882" s="21" t="n">
        <x:v>676755</x:v>
      </x:c>
      <x:c r="G882" s="7" t="str">
        <x:v>Fields / courts / play</x:v>
      </x:c>
      <x:c r="H882" s="7" t="str">
        <x:v>KGW November 2023 report; estimate dates not supplied</x:v>
      </x:c>
      <x:c r="I882" s="7" t="str">
        <x:v>https://flo.uri.sh/visualisation/15494950/embed</x:v>
      </x:c>
    </x:row>
    <x:row r="883" ht="46" customHeight="1">
      <x:c r="A883" s="8" t="n">
        <x:v>879</x:v>
      </x:c>
      <x:c r="B883" s="11" t="str">
        <x:v>Portland Heights Park</x:v>
      </x:c>
      <x:c r="C883" s="11" t="str">
        <x:v>Pathway Renovation</x:v>
      </x:c>
      <x:c r="D883" s="11" t="str">
        <x:v>Portland Heights Park</x:v>
      </x:c>
      <x:c r="E883" s="11" t="str">
        <x:v>Replace the damaged pathway, trails and sidewalks that have been rated as 4 and 5 in Pathway assessment</x:v>
      </x:c>
      <x:c r="F883" s="20" t="n">
        <x:v>63056</x:v>
      </x:c>
      <x:c r="G883" s="8" t="str">
        <x:v>Paths / access / bridges</x:v>
      </x:c>
      <x:c r="H883" s="8" t="str">
        <x:v>KGW November 2023 report; estimate dates not supplied</x:v>
      </x:c>
      <x:c r="I883" s="8" t="str">
        <x:v>https://flo.uri.sh/visualisation/15494950/embed</x:v>
      </x:c>
    </x:row>
    <x:row r="884" ht="46" customHeight="1">
      <x:c r="A884" s="7" t="n">
        <x:v>880</x:v>
      </x:c>
      <x:c r="B884" s="12" t="str">
        <x:v>Portland Heights Park</x:v>
      </x:c>
      <x:c r="C884" s="12" t="str">
        <x:v>Playground renovation</x:v>
      </x:c>
      <x:c r="D884" s="12" t="str">
        <x:v>Play Area A</x:v>
      </x:c>
      <x:c r="E884" s="12" t="str">
        <x:v>Renovation or repair playground that was rated as 4
 during playground assessment in 2020</x:v>
      </x:c>
      <x:c r="F884" s="21" t="n">
        <x:v>192633</x:v>
      </x:c>
      <x:c r="G884" s="7" t="str">
        <x:v>Fields / courts / play</x:v>
      </x:c>
      <x:c r="H884" s="7" t="str">
        <x:v>KGW November 2023 report; estimate dates not supplied</x:v>
      </x:c>
      <x:c r="I884" s="7" t="str">
        <x:v>https://flo.uri.sh/visualisation/15494950/embed</x:v>
      </x:c>
    </x:row>
    <x:row r="885" ht="46" customHeight="1">
      <x:c r="A885" s="8" t="n">
        <x:v>881</x:v>
      </x:c>
      <x:c r="B885" s="11" t="str">
        <x:v>Portland Heights Park</x:v>
      </x:c>
      <x:c r="C885" s="11" t="str">
        <x:v>Portland Heights - Upper - Play Area Safety and AD</x:v>
      </x:c>
      <x:c r="D885" s="11" t="str">
        <x:v>Portland Heights Park</x:v>
      </x:c>
      <x:c r="E885" s="11" t="str">
        <x:v>Install new ADA-compliant equipment and safety mats, including a new whirl. Remove equipment to excavate, and reinstall.  The equipment is placed to shallow . Can not put enough placy chip materials on site due to shallow depth.</x:v>
      </x:c>
      <x:c r="F885" s="20" t="n">
        <x:v>156356</x:v>
      </x:c>
      <x:c r="G885" s="8" t="str">
        <x:v>Paths / access / bridges</x:v>
      </x:c>
      <x:c r="H885" s="8" t="str">
        <x:v>KGW November 2023 report; estimate dates not supplied</x:v>
      </x:c>
      <x:c r="I885" s="8" t="str">
        <x:v>https://flo.uri.sh/visualisation/15494950/embed</x:v>
      </x:c>
    </x:row>
    <x:row r="886" ht="46" customHeight="1">
      <x:c r="A886" s="7" t="n">
        <x:v>882</x:v>
      </x:c>
      <x:c r="B886" s="12" t="str">
        <x:v>Portland Heights Park</x:v>
      </x:c>
      <x:c r="C886" s="12" t="str">
        <x:v>Playground renovation</x:v>
      </x:c>
      <x:c r="D886" s="12" t="str">
        <x:v>Play Area B</x:v>
      </x:c>
      <x:c r="E886" s="12" t="str">
        <x:v>Renovation or repair playground that was rated as 4
 during playground assessment in 2020</x:v>
      </x:c>
      <x:c r="F886" s="21" t="n">
        <x:v>114618</x:v>
      </x:c>
      <x:c r="G886" s="7" t="str">
        <x:v>Fields / courts / play</x:v>
      </x:c>
      <x:c r="H886" s="7" t="str">
        <x:v>KGW November 2023 report; estimate dates not supplied</x:v>
      </x:c>
      <x:c r="I886" s="7" t="str">
        <x:v>https://flo.uri.sh/visualisation/15494950/embed</x:v>
      </x:c>
    </x:row>
    <x:row r="887" ht="46" customHeight="1">
      <x:c r="A887" s="8" t="n">
        <x:v>883</x:v>
      </x:c>
      <x:c r="B887" s="11" t="str">
        <x:v>Portland Heights Park</x:v>
      </x:c>
      <x:c r="C887" s="11" t="str">
        <x:v>ESPC-III_Buildings Lighting to LEDs</x:v>
      </x:c>
      <x:c r="D887" s="11" t="str">
        <x:v>Restroom - Storage</x:v>
      </x:c>
      <x:c r="E887" s="11" t="str">
        <x:v>LED conversion for Exterior and Interior Lights</x:v>
      </x:c>
      <x:c r="F887" s="20" t="n">
        <x:v>11760</x:v>
      </x:c>
      <x:c r="G887" s="8" t="str">
        <x:v>Buildings / building systems</x:v>
      </x:c>
      <x:c r="H887" s="8" t="str">
        <x:v>KGW November 2023 report; estimate dates not supplied</x:v>
      </x:c>
      <x:c r="I887" s="8" t="str">
        <x:v>https://flo.uri.sh/visualisation/15494950/embed</x:v>
      </x:c>
    </x:row>
    <x:row r="888" ht="46" customHeight="1">
      <x:c r="A888" s="7" t="n">
        <x:v>884</x:v>
      </x:c>
      <x:c r="B888" s="12" t="str">
        <x:v>Portland International Raceway</x:v>
      </x:c>
      <x:c r="C888" s="12" t="str">
        <x:v>Renovate parking lot_Parking Area B</x:v>
      </x:c>
      <x:c r="D888" s="12" t="str">
        <x:v>Parking Area B</x:v>
      </x:c>
      <x:c r="E888" s="12" t="str">
        <x:v>Repair parking lot that was rated 4 in condition assessment. Repair include surface, drainage and curb. approx area= 23407 sq.ft</x:v>
      </x:c>
      <x:c r="F888" s="21" t="n">
        <x:v>382696</x:v>
      </x:c>
      <x:c r="G888" s="7" t="str">
        <x:v>Utilities / lighting / drainage</x:v>
      </x:c>
      <x:c r="H888" s="7" t="str">
        <x:v>KGW November 2023 report; estimate dates not supplied</x:v>
      </x:c>
      <x:c r="I888" s="7" t="str">
        <x:v>https://flo.uri.sh/visualisation/15494950/embed</x:v>
      </x:c>
    </x:row>
    <x:row r="889" ht="46" customHeight="1">
      <x:c r="A889" s="8" t="n">
        <x:v>885</x:v>
      </x:c>
      <x:c r="B889" s="11" t="str">
        <x:v>Portland International Raceway</x:v>
      </x:c>
      <x:c r="C889" s="11" t="str">
        <x:v>Renovate the Roof of Administration building</x:v>
      </x:c>
      <x:c r="D889" s="11" t="str">
        <x:v>Main Office</x:v>
      </x:c>
      <x:c r="E889" s="11" t="str">
        <x:v>Fix or replace the Roof that is rated 4 through buildings' assessment</x:v>
      </x:c>
      <x:c r="F889" s="20" t="n">
        <x:v>360380</x:v>
      </x:c>
      <x:c r="G889" s="8" t="str">
        <x:v>Buildings / building systems</x:v>
      </x:c>
      <x:c r="H889" s="8" t="str">
        <x:v>KGW November 2023 report; estimate dates not supplied</x:v>
      </x:c>
      <x:c r="I889" s="8" t="str">
        <x:v>https://flo.uri.sh/visualisation/15494950/embed</x:v>
      </x:c>
    </x:row>
    <x:row r="890" ht="46" customHeight="1">
      <x:c r="A890" s="7" t="n">
        <x:v>886</x:v>
      </x:c>
      <x:c r="B890" s="12" t="str">
        <x:v>Portland International Raceway</x:v>
      </x:c>
      <x:c r="C890" s="12" t="str">
        <x:v>Renovate the Roof of Visitor Services building</x:v>
      </x:c>
      <x:c r="D890" s="12" t="str">
        <x:v>Motocross Tower</x:v>
      </x:c>
      <x:c r="E890" s="12" t="str">
        <x:v>Fix or replace the Roof that is rated 4 through buildings' assessment</x:v>
      </x:c>
      <x:c r="F890" s="21" t="n">
        <x:v>33418</x:v>
      </x:c>
      <x:c r="G890" s="7" t="str">
        <x:v>Buildings / building systems</x:v>
      </x:c>
      <x:c r="H890" s="7" t="str">
        <x:v>KGW November 2023 report; estimate dates not supplied</x:v>
      </x:c>
      <x:c r="I890" s="7" t="str">
        <x:v>https://flo.uri.sh/visualisation/15494950/embed</x:v>
      </x:c>
    </x:row>
    <x:row r="891" ht="46" customHeight="1">
      <x:c r="A891" s="8" t="n">
        <x:v>887</x:v>
      </x:c>
      <x:c r="B891" s="11" t="str">
        <x:v>Portland International Raceway</x:v>
      </x:c>
      <x:c r="C891" s="11" t="str">
        <x:v>Pathway Renovation</x:v>
      </x:c>
      <x:c r="D891" s="11" t="str">
        <x:v>Regional trail</x:v>
      </x:c>
      <x:c r="E891" s="11" t="str">
        <x:v>Replace the damaged pathway, trails and sidewalks that have been rated as 4 and 5 in Pathway assessment</x:v>
      </x:c>
      <x:c r="F891" s="20" t="n">
        <x:v>235210</x:v>
      </x:c>
      <x:c r="G891" s="8" t="str">
        <x:v>Paths / access / bridges</x:v>
      </x:c>
      <x:c r="H891" s="8" t="str">
        <x:v>KGW November 2023 report; estimate dates not supplied</x:v>
      </x:c>
      <x:c r="I891" s="8" t="str">
        <x:v>https://flo.uri.sh/visualisation/15494950/embed</x:v>
      </x:c>
    </x:row>
    <x:row r="892" ht="46" customHeight="1">
      <x:c r="A892" s="7" t="n">
        <x:v>888</x:v>
      </x:c>
      <x:c r="B892" s="12" t="str">
        <x:v>Portland International Raceway</x:v>
      </x:c>
      <x:c r="C892" s="12" t="str">
        <x:v>Renovate the Roof of Maintenance building</x:v>
      </x:c>
      <x:c r="D892" s="12" t="str">
        <x:v>Garage</x:v>
      </x:c>
      <x:c r="E892" s="12" t="str">
        <x:v>Fix or replace the Roof that is rated 4 through buildings' assessment</x:v>
      </x:c>
      <x:c r="F892" s="21" t="n">
        <x:v>122169</x:v>
      </x:c>
      <x:c r="G892" s="7" t="str">
        <x:v>Buildings / building systems</x:v>
      </x:c>
      <x:c r="H892" s="7" t="str">
        <x:v>KGW November 2023 report; estimate dates not supplied</x:v>
      </x:c>
      <x:c r="I892" s="7" t="str">
        <x:v>https://flo.uri.sh/visualisation/15494950/embed</x:v>
      </x:c>
    </x:row>
    <x:row r="893" ht="46" customHeight="1">
      <x:c r="A893" s="8" t="n">
        <x:v>889</x:v>
      </x:c>
      <x:c r="B893" s="11" t="str">
        <x:v>Portland International Raceway</x:v>
      </x:c>
      <x:c r="C893" s="11" t="str">
        <x:v>ESPC-III_Buildings Lighting to LEDs</x:v>
      </x:c>
      <x:c r="D893" s="11" t="str">
        <x:v>Administration</x:v>
      </x:c>
      <x:c r="E893" s="11" t="str">
        <x:v>LED conversion for Exterior and Interior Lights</x:v>
      </x:c>
      <x:c r="F893" s="20" t="n">
        <x:v>11760</x:v>
      </x:c>
      <x:c r="G893" s="8" t="str">
        <x:v>Buildings / building systems</x:v>
      </x:c>
      <x:c r="H893" s="8" t="str">
        <x:v>KGW November 2023 report; estimate dates not supplied</x:v>
      </x:c>
      <x:c r="I893" s="8" t="str">
        <x:v>https://flo.uri.sh/visualisation/15494950/embed</x:v>
      </x:c>
    </x:row>
    <x:row r="894" ht="46" customHeight="1">
      <x:c r="A894" s="7" t="n">
        <x:v>890</x:v>
      </x:c>
      <x:c r="B894" s="12" t="str">
        <x:v>Portland International Raceway</x:v>
      </x:c>
      <x:c r="C894" s="12" t="str">
        <x:v>ESPC-III_Buildings Lighting to LEDs</x:v>
      </x:c>
      <x:c r="D894" s="12" t="str">
        <x:v>Restroom - Visitor Services</x:v>
      </x:c>
      <x:c r="E894" s="12" t="str">
        <x:v>LED conversion for Exterior and Interior Lights</x:v>
      </x:c>
      <x:c r="F894" s="21" t="n">
        <x:v>11760</x:v>
      </x:c>
      <x:c r="G894" s="7" t="str">
        <x:v>Buildings / building systems</x:v>
      </x:c>
      <x:c r="H894" s="7" t="str">
        <x:v>KGW November 2023 report; estimate dates not supplied</x:v>
      </x:c>
      <x:c r="I894" s="7" t="str">
        <x:v>https://flo.uri.sh/visualisation/15494950/embed</x:v>
      </x:c>
    </x:row>
    <x:row r="895" ht="46" customHeight="1">
      <x:c r="A895" s="8" t="n">
        <x:v>891</x:v>
      </x:c>
      <x:c r="B895" s="11" t="str">
        <x:v>Portland International Raceway</x:v>
      </x:c>
      <x:c r="C895" s="11" t="str">
        <x:v>Renovate electrical and mechanical equipment</x:v>
      </x:c>
      <x:c r="D895" s="11" t="str">
        <x:v>Main office and Motorcross tower</x:v>
      </x:c>
      <x:c r="E895" s="11" t="str">
        <x:v>Electrical and mechanical equipment’s passed 25 year of service and need to replace.</x:v>
      </x:c>
      <x:c r="F895" s="20" t="n">
        <x:v>100000</x:v>
      </x:c>
      <x:c r="G895" s="8" t="str">
        <x:v>Utilities / lighting / drainage</x:v>
      </x:c>
      <x:c r="H895" s="8" t="str">
        <x:v>KGW November 2023 report; estimate dates not supplied</x:v>
      </x:c>
      <x:c r="I895" s="8" t="str">
        <x:v>https://flo.uri.sh/visualisation/15494950/embed</x:v>
      </x:c>
    </x:row>
    <x:row r="896" ht="46" customHeight="1">
      <x:c r="A896" s="7" t="n">
        <x:v>892</x:v>
      </x:c>
      <x:c r="B896" s="12" t="str">
        <x:v>Portsmouth Park</x:v>
      </x:c>
      <x:c r="C896" s="12" t="str">
        <x:v>Pathway Renovation</x:v>
      </x:c>
      <x:c r="D896" s="12" t="str">
        <x:v>Portsmouth Park</x:v>
      </x:c>
      <x:c r="E896" s="12" t="str">
        <x:v>Replace the damaged pathway, trails and sidewalks that have been rated as 4 and 5 in Pathway assessment</x:v>
      </x:c>
      <x:c r="F896" s="21" t="n">
        <x:v>134722</x:v>
      </x:c>
      <x:c r="G896" s="7" t="str">
        <x:v>Paths / access / bridges</x:v>
      </x:c>
      <x:c r="H896" s="7" t="str">
        <x:v>KGW November 2023 report; estimate dates not supplied</x:v>
      </x:c>
      <x:c r="I896" s="7" t="str">
        <x:v>https://flo.uri.sh/visualisation/15494950/embed</x:v>
      </x:c>
    </x:row>
    <x:row r="897" ht="46" customHeight="1">
      <x:c r="A897" s="8" t="n">
        <x:v>893</x:v>
      </x:c>
      <x:c r="B897" s="11" t="str">
        <x:v>Powell Butte - Lower Floodplain</x:v>
      </x:c>
      <x:c r="C897" s="11" t="str">
        <x:v>Ecological Restoration_ Powell Butte - Lower Floodplain</x:v>
      </x:c>
      <x:c r="D897" s="11" t="str"/>
      <x:c r="E897" s="11" t="str">
        <x:v>Placholder for Ecological health restoration</x:v>
      </x:c>
      <x:c r="F897" s="20" t="n">
        <x:v>147006</x:v>
      </x:c>
      <x:c r="G897" s="8" t="str">
        <x:v>Other site infrastructure</x:v>
      </x:c>
      <x:c r="H897" s="8" t="str">
        <x:v>KGW November 2023 report; estimate dates not supplied</x:v>
      </x:c>
      <x:c r="I897" s="8" t="str">
        <x:v>https://flo.uri.sh/visualisation/15494950/embed</x:v>
      </x:c>
    </x:row>
    <x:row r="898" ht="46" customHeight="1">
      <x:c r="A898" s="7" t="n">
        <x:v>894</x:v>
      </x:c>
      <x:c r="B898" s="12" t="str">
        <x:v>Powell Butte Nature Park</x:v>
      </x:c>
      <x:c r="C898" s="12" t="str">
        <x:v>Pathway Renovation</x:v>
      </x:c>
      <x:c r="D898" s="12" t="str">
        <x:v>Powell Butte Nature Park</x:v>
      </x:c>
      <x:c r="E898" s="12" t="str">
        <x:v>Replace the damaged pathway, trails and sidewalks that have been rated as 4 and 5 in Pathway assessment</x:v>
      </x:c>
      <x:c r="F898" s="21" t="n">
        <x:v>235531</x:v>
      </x:c>
      <x:c r="G898" s="7" t="str">
        <x:v>Paths / access / bridges</x:v>
      </x:c>
      <x:c r="H898" s="7" t="str">
        <x:v>KGW November 2023 report; estimate dates not supplied</x:v>
      </x:c>
      <x:c r="I898" s="7" t="str">
        <x:v>https://flo.uri.sh/visualisation/15494950/embed</x:v>
      </x:c>
    </x:row>
    <x:row r="899" ht="46" customHeight="1">
      <x:c r="A899" s="8" t="n">
        <x:v>895</x:v>
      </x:c>
      <x:c r="B899" s="11" t="str">
        <x:v>Powell Butte Nature Park</x:v>
      </x:c>
      <x:c r="C899" s="11" t="str">
        <x:v>Ecological Restoration_ Powell Butte Nature Park</x:v>
      </x:c>
      <x:c r="D899" s="11" t="str"/>
      <x:c r="E899" s="11" t="str">
        <x:v>Placholder for Ecological health restoration</x:v>
      </x:c>
      <x:c r="F899" s="20" t="n">
        <x:v>147006</x:v>
      </x:c>
      <x:c r="G899" s="8" t="str">
        <x:v>Other site infrastructure</x:v>
      </x:c>
      <x:c r="H899" s="8" t="str">
        <x:v>KGW November 2023 report; estimate dates not supplied</x:v>
      </x:c>
      <x:c r="I899" s="8" t="str">
        <x:v>https://flo.uri.sh/visualisation/15494950/embed</x:v>
      </x:c>
    </x:row>
    <x:row r="900" ht="46" customHeight="1">
      <x:c r="A900" s="7" t="n">
        <x:v>896</x:v>
      </x:c>
      <x:c r="B900" s="12" t="str">
        <x:v>Powell Park</x:v>
      </x:c>
      <x:c r="C900" s="12" t="str">
        <x:v>Improve gateway off 26th</x:v>
      </x:c>
      <x:c r="D900" s="12" t="str">
        <x:v>Powell Park</x:v>
      </x:c>
      <x:c r="E900" s="12" t="str">
        <x:v>Improve gateway off 26th and Powell.  Replaces CIP 1968, projects were split out.</x:v>
      </x:c>
      <x:c r="F900" s="21" t="n">
        <x:v>55940</x:v>
      </x:c>
      <x:c r="G900" s="7" t="str">
        <x:v>Other site infrastructure</x:v>
      </x:c>
      <x:c r="H900" s="7" t="str">
        <x:v>KGW November 2023 report; estimate dates not supplied</x:v>
      </x:c>
      <x:c r="I900" s="7" t="str">
        <x:v>https://flo.uri.sh/visualisation/15494950/embed</x:v>
      </x:c>
    </x:row>
    <x:row r="901" ht="46" customHeight="1">
      <x:c r="A901" s="8" t="n">
        <x:v>897</x:v>
      </x:c>
      <x:c r="B901" s="11" t="str">
        <x:v>Powell Park</x:v>
      </x:c>
      <x:c r="C901" s="11" t="str">
        <x:v>Pathway Renovation</x:v>
      </x:c>
      <x:c r="D901" s="11" t="str">
        <x:v>Powell Park</x:v>
      </x:c>
      <x:c r="E901" s="11" t="str">
        <x:v>Replace the damaged pathway, trails and sidewalks that have been rated as 4 and 5 in Pathway assessment</x:v>
      </x:c>
      <x:c r="F901" s="20" t="n">
        <x:v>352814</x:v>
      </x:c>
      <x:c r="G901" s="8" t="str">
        <x:v>Paths / access / bridges</x:v>
      </x:c>
      <x:c r="H901" s="8" t="str">
        <x:v>KGW November 2023 report; estimate dates not supplied</x:v>
      </x:c>
      <x:c r="I901" s="8" t="str">
        <x:v>https://flo.uri.sh/visualisation/15494950/embed</x:v>
      </x:c>
    </x:row>
    <x:row r="902" ht="46" customHeight="1">
      <x:c r="A902" s="7" t="n">
        <x:v>898</x:v>
      </x:c>
      <x:c r="B902" s="12" t="str">
        <x:v>Powell Park</x:v>
      </x:c>
      <x:c r="C902" s="12" t="str">
        <x:v>Pathway improvements</x:v>
      </x:c>
      <x:c r="D902" s="12" t="str">
        <x:v>Powell Park</x:v>
      </x:c>
      <x:c r="E902" s="12" t="str">
        <x:v>- Improve path surface.  Replaces CIP 1968, projects were split out.
- Access path - repair the path to keep pathway width.  Scotty F. 503 823-6445  Alex S. 503 823-3650</x:v>
      </x:c>
      <x:c r="F902" s="21" t="n">
        <x:v>147006</x:v>
      </x:c>
      <x:c r="G902" s="7" t="str">
        <x:v>Paths / access / bridges</x:v>
      </x:c>
      <x:c r="H902" s="7" t="str">
        <x:v>KGW November 2023 report; estimate dates not supplied</x:v>
      </x:c>
      <x:c r="I902" s="7" t="str">
        <x:v>https://flo.uri.sh/visualisation/15494950/embed</x:v>
      </x:c>
    </x:row>
    <x:row r="903" ht="46" customHeight="1">
      <x:c r="A903" s="8" t="n">
        <x:v>899</x:v>
      </x:c>
      <x:c r="B903" s="11" t="str">
        <x:v>Powell Park</x:v>
      </x:c>
      <x:c r="C903" s="11" t="str">
        <x:v>ESPC-III_Buildings Lighting to LEDs</x:v>
      </x:c>
      <x:c r="D903" s="11" t="str">
        <x:v>Shelter - Restroom - Storage</x:v>
      </x:c>
      <x:c r="E903" s="11" t="str">
        <x:v>LED conversion for Exterior and Interior Lights</x:v>
      </x:c>
      <x:c r="F903" s="20" t="n">
        <x:v>11760</x:v>
      </x:c>
      <x:c r="G903" s="8" t="str">
        <x:v>Buildings / building systems</x:v>
      </x:c>
      <x:c r="H903" s="8" t="str">
        <x:v>KGW November 2023 report; estimate dates not supplied</x:v>
      </x:c>
      <x:c r="I903" s="8" t="str">
        <x:v>https://flo.uri.sh/visualisation/15494950/embed</x:v>
      </x:c>
    </x:row>
    <x:row r="904" ht="46" customHeight="1">
      <x:c r="A904" s="7" t="n">
        <x:v>900</x:v>
      </x:c>
      <x:c r="B904" s="12" t="str">
        <x:v>Powell Park</x:v>
      </x:c>
      <x:c r="C904" s="12" t="str">
        <x:v>Improve pathway, drainage and irrigation</x:v>
      </x:c>
      <x:c r="D904" s="12" t="str"/>
      <x:c r="E904" s="12" t="str">
        <x:v>- Renovate and improve; drainage, pathways, basketball, gateway, irrigation
- Improve drainage and surface at sports court; improve path surface. Improve play equipment, baskebtall areas and gateway off 26th and Powell. Install irrigation.</x:v>
      </x:c>
      <x:c r="F904" s="21" t="n">
        <x:v>101471</x:v>
      </x:c>
      <x:c r="G904" s="7" t="str">
        <x:v>Paths / access / bridges</x:v>
      </x:c>
      <x:c r="H904" s="7" t="str">
        <x:v>KGW November 2023 report; estimate dates not supplied</x:v>
      </x:c>
      <x:c r="I904" s="7" t="str">
        <x:v>https://flo.uri.sh/visualisation/15494950/embed</x:v>
      </x:c>
    </x:row>
    <x:row r="905" ht="46" customHeight="1">
      <x:c r="A905" s="8" t="n">
        <x:v>901</x:v>
      </x:c>
      <x:c r="B905" s="11" t="str">
        <x:v>Powers Marine Park</x:v>
      </x:c>
      <x:c r="C905" s="11" t="str">
        <x:v>Ecological Restoration_ Powers Marine Park</x:v>
      </x:c>
      <x:c r="D905" s="11" t="str"/>
      <x:c r="E905" s="11" t="str">
        <x:v>Placholder for Ecological health restoration
Part of (Terwilliger Parkway including George Himes and Duniway) project</x:v>
      </x:c>
      <x:c r="F905" s="20" t="n">
        <x:v>294012</x:v>
      </x:c>
      <x:c r="G905" s="8" t="str">
        <x:v>Other site infrastructure</x:v>
      </x:c>
      <x:c r="H905" s="8" t="str">
        <x:v>KGW November 2023 report; estimate dates not supplied</x:v>
      </x:c>
      <x:c r="I905" s="8" t="str">
        <x:v>https://flo.uri.sh/visualisation/15494950/embed</x:v>
      </x:c>
    </x:row>
    <x:row r="906" ht="46" customHeight="1">
      <x:c r="A906" s="7" t="n">
        <x:v>902</x:v>
      </x:c>
      <x:c r="B906" s="12" t="str">
        <x:v>Raymond Park</x:v>
      </x:c>
      <x:c r="C906" s="12" t="str">
        <x:v>ESPC-II_ Raymond Park</x:v>
      </x:c>
      <x:c r="D906" s="12" t="str"/>
      <x:c r="E906" s="12" t="str">
        <x:v>Raymond Park; Close Portland Water Bureau (PWB) Account #2958496800 (Mtr #46307626). No use of this account in years.. FIM Name: 07.01-0561 Consolidate Utility Meters</x:v>
      </x:c>
      <x:c r="F906" s="21" t="n">
        <x:v>7443</x:v>
      </x:c>
      <x:c r="G906" s="7" t="str">
        <x:v>Utilities / lighting / drainage</x:v>
      </x:c>
      <x:c r="H906" s="7" t="str">
        <x:v>KGW November 2023 report; estimate dates not supplied</x:v>
      </x:c>
      <x:c r="I906" s="7" t="str">
        <x:v>https://flo.uri.sh/visualisation/15494950/embed</x:v>
      </x:c>
    </x:row>
    <x:row r="907" ht="46" customHeight="1">
      <x:c r="A907" s="8" t="n">
        <x:v>903</x:v>
      </x:c>
      <x:c r="B907" s="11" t="str">
        <x:v>Raymond Park</x:v>
      </x:c>
      <x:c r="C907" s="11" t="str">
        <x:v>Playground renovation</x:v>
      </x:c>
      <x:c r="D907" s="11" t="str">
        <x:v>Play Area A</x:v>
      </x:c>
      <x:c r="E907" s="11" t="str">
        <x:v>- Renovation or repair playground that was rated as 4 during playground assessment in 2020
- Fix sewer connection</x:v>
      </x:c>
      <x:c r="F907" s="20" t="n">
        <x:v>328039</x:v>
      </x:c>
      <x:c r="G907" s="8" t="str">
        <x:v>Fields / courts / play</x:v>
      </x:c>
      <x:c r="H907" s="8" t="str">
        <x:v>KGW November 2023 report; estimate dates not supplied</x:v>
      </x:c>
      <x:c r="I907" s="8" t="str">
        <x:v>https://flo.uri.sh/visualisation/15494950/embed</x:v>
      </x:c>
    </x:row>
    <x:row r="908" ht="46" customHeight="1">
      <x:c r="A908" s="7" t="n">
        <x:v>904</x:v>
      </x:c>
      <x:c r="B908" s="12" t="str">
        <x:v>Raymond Park</x:v>
      </x:c>
      <x:c r="C908" s="12" t="str">
        <x:v>Repair Basketball court surface</x:v>
      </x:c>
      <x:c r="D908" s="12" t="str">
        <x:v>Raymond Park</x:v>
      </x:c>
      <x:c r="E908" s="12" t="str">
        <x:v>Repair the hole in the rubber mat under the hoop. Trip hazard</x:v>
      </x:c>
      <x:c r="F908" s="21" t="n">
        <x:v>29401</x:v>
      </x:c>
      <x:c r="G908" s="7" t="str">
        <x:v>Fields / courts / play</x:v>
      </x:c>
      <x:c r="H908" s="7" t="str">
        <x:v>KGW November 2023 report; estimate dates not supplied</x:v>
      </x:c>
      <x:c r="I908" s="7" t="str">
        <x:v>https://flo.uri.sh/visualisation/15494950/embed</x:v>
      </x:c>
    </x:row>
    <x:row r="909" ht="46" customHeight="1">
      <x:c r="A909" s="8" t="n">
        <x:v>905</x:v>
      </x:c>
      <x:c r="B909" s="11" t="str">
        <x:v>Raymond Park</x:v>
      </x:c>
      <x:c r="C909" s="11" t="str">
        <x:v>Renovate park fence</x:v>
      </x:c>
      <x:c r="D909" s="11" t="str">
        <x:v>Chain link fence</x:v>
      </x:c>
      <x:c r="E909" s="11" t="str">
        <x:v>Renovate fence rate 5 in condition assessment</x:v>
      </x:c>
      <x:c r="F909" s="20" t="n">
        <x:v>15000</x:v>
      </x:c>
      <x:c r="G909" s="8" t="str">
        <x:v>Other site infrastructure</x:v>
      </x:c>
      <x:c r="H909" s="8" t="str">
        <x:v>KGW November 2023 report; estimate dates not supplied</x:v>
      </x:c>
      <x:c r="I909" s="8" t="str">
        <x:v>https://flo.uri.sh/visualisation/15494950/embed</x:v>
      </x:c>
    </x:row>
    <x:row r="910" ht="46" customHeight="1">
      <x:c r="A910" s="7" t="n">
        <x:v>906</x:v>
      </x:c>
      <x:c r="B910" s="12" t="str">
        <x:v>Raymond Park</x:v>
      </x:c>
      <x:c r="C910" s="12" t="str">
        <x:v>Repair play structure</x:v>
      </x:c>
      <x:c r="D910" s="12" t="str"/>
      <x:c r="E910" s="12" t="str">
        <x:v>Failed Inspection Point from WO 304649
Structure platform is corroded and starting to crack where the bridge is connected</x:v>
      </x:c>
      <x:c r="F910" s="21" t="n">
        <x:v>10935</x:v>
      </x:c>
      <x:c r="G910" s="7" t="str">
        <x:v>Paths / access / bridges</x:v>
      </x:c>
      <x:c r="H910" s="7" t="str">
        <x:v>KGW November 2023 report; estimate dates not supplied</x:v>
      </x:c>
      <x:c r="I910" s="7" t="str">
        <x:v>https://flo.uri.sh/visualisation/15494950/embed</x:v>
      </x:c>
    </x:row>
    <x:row r="911" ht="46" customHeight="1">
      <x:c r="A911" s="8" t="n">
        <x:v>907</x:v>
      </x:c>
      <x:c r="B911" s="11" t="str">
        <x:v>Red Tail Golf Course</x:v>
      </x:c>
      <x:c r="C911" s="11" t="str">
        <x:v>Pathway Renovation</x:v>
      </x:c>
      <x:c r="D911" s="11" t="str">
        <x:v>Red Tail Golf Course</x:v>
      </x:c>
      <x:c r="E911" s="11" t="str">
        <x:v>Replace the damaged pathway, trails and sidewalks that have been rated as 4 and 5 in Pathway assessment</x:v>
      </x:c>
      <x:c r="F911" s="20" t="n">
        <x:v>400054</x:v>
      </x:c>
      <x:c r="G911" s="8" t="str">
        <x:v>Paths / access / bridges</x:v>
      </x:c>
      <x:c r="H911" s="8" t="str">
        <x:v>KGW November 2023 report; estimate dates not supplied</x:v>
      </x:c>
      <x:c r="I911" s="8" t="str">
        <x:v>https://flo.uri.sh/visualisation/15494950/embed</x:v>
      </x:c>
    </x:row>
    <x:row r="912" ht="46" customHeight="1">
      <x:c r="A912" s="7" t="n">
        <x:v>908</x:v>
      </x:c>
      <x:c r="B912" s="12" t="str">
        <x:v>Red Tail Golf Course</x:v>
      </x:c>
      <x:c r="C912" s="12" t="str">
        <x:v>Redtail Redesign 7th Hole</x:v>
      </x:c>
      <x:c r="D912" s="12" t="str">
        <x:v>Red Tail Golf Course</x:v>
      </x:c>
      <x:c r="E912" s="12" t="str">
        <x:v>Re-design 7th hole</x:v>
      </x:c>
      <x:c r="F912" s="21" t="n">
        <x:v>19250</x:v>
      </x:c>
      <x:c r="G912" s="7" t="str">
        <x:v>Other site infrastructure</x:v>
      </x:c>
      <x:c r="H912" s="7" t="str">
        <x:v>KGW November 2023 report; estimate dates not supplied</x:v>
      </x:c>
      <x:c r="I912" s="7" t="str">
        <x:v>https://flo.uri.sh/visualisation/15494950/embed</x:v>
      </x:c>
    </x:row>
    <x:row r="913" ht="46" customHeight="1">
      <x:c r="A913" s="8" t="n">
        <x:v>909</x:v>
      </x:c>
      <x:c r="B913" s="11" t="str">
        <x:v>Red Tail Golf Course</x:v>
      </x:c>
      <x:c r="C913" s="11" t="str">
        <x:v>Renovate the Roof of Equipment shelter</x:v>
      </x:c>
      <x:c r="D913" s="11" t="str">
        <x:v>Shelter B and C</x:v>
      </x:c>
      <x:c r="E913" s="11" t="str">
        <x:v>Fix or replace the Roof that is rated 4 through buildings' assessment</x:v>
      </x:c>
      <x:c r="F913" s="20" t="n">
        <x:v>11993</x:v>
      </x:c>
      <x:c r="G913" s="8" t="str">
        <x:v>Buildings / building systems</x:v>
      </x:c>
      <x:c r="H913" s="8" t="str">
        <x:v>KGW November 2023 report; estimate dates not supplied</x:v>
      </x:c>
      <x:c r="I913" s="8" t="str">
        <x:v>https://flo.uri.sh/visualisation/15494950/embed</x:v>
      </x:c>
    </x:row>
    <x:row r="914" ht="46" customHeight="1">
      <x:c r="A914" s="7" t="n">
        <x:v>910</x:v>
      </x:c>
      <x:c r="B914" s="12" t="str">
        <x:v>Red Tail Golf Course</x:v>
      </x:c>
      <x:c r="C914" s="12" t="str">
        <x:v>ESPC-III_Buildings Lighting to LEDs</x:v>
      </x:c>
      <x:c r="D914" s="12" t="str">
        <x:v>Maintenance</x:v>
      </x:c>
      <x:c r="E914" s="12" t="str">
        <x:v>LED conversion for Exterior and Interior Lights</x:v>
      </x:c>
      <x:c r="F914" s="21" t="n">
        <x:v>11760</x:v>
      </x:c>
      <x:c r="G914" s="7" t="str">
        <x:v>Buildings / building systems</x:v>
      </x:c>
      <x:c r="H914" s="7" t="str">
        <x:v>KGW November 2023 report; estimate dates not supplied</x:v>
      </x:c>
      <x:c r="I914" s="7" t="str">
        <x:v>https://flo.uri.sh/visualisation/15494950/embed</x:v>
      </x:c>
    </x:row>
    <x:row r="915" ht="46" customHeight="1">
      <x:c r="A915" s="8" t="n">
        <x:v>911</x:v>
      </x:c>
      <x:c r="B915" s="11" t="str">
        <x:v>Red Tail Golf Course</x:v>
      </x:c>
      <x:c r="C915" s="11" t="str">
        <x:v>ESPC-III_Buildings Lighting to LEDs</x:v>
      </x:c>
      <x:c r="D915" s="11" t="str">
        <x:v>Restroom</x:v>
      </x:c>
      <x:c r="E915" s="11" t="str">
        <x:v>LED conversion for Exterior and Interior Lights</x:v>
      </x:c>
      <x:c r="F915" s="20" t="n">
        <x:v>11760</x:v>
      </x:c>
      <x:c r="G915" s="8" t="str">
        <x:v>Buildings / building systems</x:v>
      </x:c>
      <x:c r="H915" s="8" t="str">
        <x:v>KGW November 2023 report; estimate dates not supplied</x:v>
      </x:c>
      <x:c r="I915" s="8" t="str">
        <x:v>https://flo.uri.sh/visualisation/15494950/embed</x:v>
      </x:c>
    </x:row>
    <x:row r="916" ht="46" customHeight="1">
      <x:c r="A916" s="7" t="n">
        <x:v>912</x:v>
      </x:c>
      <x:c r="B916" s="12" t="str">
        <x:v>Red Tail Golf Course</x:v>
      </x:c>
      <x:c r="C916" s="12" t="str">
        <x:v>Renovate parking lot_Parking Area C</x:v>
      </x:c>
      <x:c r="D916" s="12" t="str">
        <x:v>Parking Area C</x:v>
      </x:c>
      <x:c r="E916" s="12" t="str">
        <x:v>Repair parking lot that was rated 4 in condition assessment. Repair include surface, drainage and curb. approx area= 62442 sq.ft</x:v>
      </x:c>
      <x:c r="F916" s="21" t="n">
        <x:v>1020920</x:v>
      </x:c>
      <x:c r="G916" s="7" t="str">
        <x:v>Utilities / lighting / drainage</x:v>
      </x:c>
      <x:c r="H916" s="7" t="str">
        <x:v>KGW November 2023 report; estimate dates not supplied</x:v>
      </x:c>
      <x:c r="I916" s="7" t="str">
        <x:v>https://flo.uri.sh/visualisation/15494950/embed</x:v>
      </x:c>
    </x:row>
    <x:row r="917" ht="46" customHeight="1">
      <x:c r="A917" s="8" t="n">
        <x:v>913</x:v>
      </x:c>
      <x:c r="B917" s="11" t="str">
        <x:v>Richmond Property</x:v>
      </x:c>
      <x:c r="C917" s="11" t="str">
        <x:v>Pathway Renovation</x:v>
      </x:c>
      <x:c r="D917" s="11" t="str">
        <x:v>Internal Pathway/ Sidewalk</x:v>
      </x:c>
      <x:c r="E917" s="11" t="str">
        <x:v>Replace the damaged pathway, trails and sidewalks that have been rated as 4 and 5 in Pathway assessment</x:v>
      </x:c>
      <x:c r="F917" s="20" t="n">
        <x:v>19434</x:v>
      </x:c>
      <x:c r="G917" s="8" t="str">
        <x:v>Paths / access / bridges</x:v>
      </x:c>
      <x:c r="H917" s="8" t="str">
        <x:v>KGW November 2023 report; estimate dates not supplied</x:v>
      </x:c>
      <x:c r="I917" s="8" t="str">
        <x:v>https://flo.uri.sh/visualisation/15494950/embed</x:v>
      </x:c>
    </x:row>
    <x:row r="918" ht="46" customHeight="1">
      <x:c r="A918" s="7" t="n">
        <x:v>914</x:v>
      </x:c>
      <x:c r="B918" s="12" t="str">
        <x:v>Rigler Elementary School</x:v>
      </x:c>
      <x:c r="C918" s="12" t="str">
        <x:v>Rigler ES - 3 Soccer Fields, 1 Ball Fields</x:v>
      </x:c>
      <x:c r="D918" s="12" t="str">
        <x:v>Rigler Elementary School</x:v>
      </x:c>
      <x:c r="E918" s="12" t="str">
        <x:v>CONTRIBUTION toward improvements at selected schools such as installing irrigation, improved goals, backstops, bleachers, etc.</x:v>
      </x:c>
      <x:c r="F918" s="21" t="n">
        <x:v>154807</x:v>
      </x:c>
      <x:c r="G918" s="7" t="str">
        <x:v>Fields / courts / play</x:v>
      </x:c>
      <x:c r="H918" s="7" t="str">
        <x:v>KGW November 2023 report; estimate dates not supplied</x:v>
      </x:c>
      <x:c r="I918" s="7" t="str">
        <x:v>https://flo.uri.sh/visualisation/15494950/embed</x:v>
      </x:c>
    </x:row>
    <x:row r="919" ht="46" customHeight="1">
      <x:c r="A919" s="8" t="n">
        <x:v>915</x:v>
      </x:c>
      <x:c r="B919" s="11" t="str">
        <x:v>River View Natural Area</x:v>
      </x:c>
      <x:c r="C919" s="11" t="str">
        <x:v>Riverview restortaion and visitor amenities</x:v>
      </x:c>
      <x:c r="D919" s="11" t="str"/>
      <x:c r="E919" s="11" t="str">
        <x:v>See Mgt Plan for restoration, visitor amenities.
Candidate Projects for City of Portland</x:v>
      </x:c>
      <x:c r="F919" s="20" t="n">
        <x:v>9256851</x:v>
      </x:c>
      <x:c r="G919" s="8" t="str">
        <x:v>Other site infrastructure</x:v>
      </x:c>
      <x:c r="H919" s="8" t="str">
        <x:v>KGW November 2023 report; estimate dates not supplied</x:v>
      </x:c>
      <x:c r="I919" s="8" t="str">
        <x:v>https://flo.uri.sh/visualisation/15494950/embed</x:v>
      </x:c>
    </x:row>
    <x:row r="920" ht="46" customHeight="1">
      <x:c r="A920" s="7" t="n">
        <x:v>916</x:v>
      </x:c>
      <x:c r="B920" s="12" t="str">
        <x:v>River View Natural Area</x:v>
      </x:c>
      <x:c r="C920" s="12" t="str">
        <x:v>Pathway Renovation</x:v>
      </x:c>
      <x:c r="D920" s="12" t="str">
        <x:v>River View Natural Area</x:v>
      </x:c>
      <x:c r="E920" s="12" t="str">
        <x:v>Replace the damaged pathway, trails and sidewalks that have been rated as 4 and 5 in Pathway assessment</x:v>
      </x:c>
      <x:c r="F920" s="21" t="n">
        <x:v>62994</x:v>
      </x:c>
      <x:c r="G920" s="7" t="str">
        <x:v>Paths / access / bridges</x:v>
      </x:c>
      <x:c r="H920" s="7" t="str">
        <x:v>KGW November 2023 report; estimate dates not supplied</x:v>
      </x:c>
      <x:c r="I920" s="7" t="str">
        <x:v>https://flo.uri.sh/visualisation/15494950/embed</x:v>
      </x:c>
    </x:row>
    <x:row r="921" ht="46" customHeight="1">
      <x:c r="A921" s="8" t="n">
        <x:v>917</x:v>
      </x:c>
      <x:c r="B921" s="11" t="str">
        <x:v>River View Natural Area</x:v>
      </x:c>
      <x:c r="C921" s="11" t="str">
        <x:v>Ecological Restoration_ River View Natural Area</x:v>
      </x:c>
      <x:c r="D921" s="11" t="str"/>
      <x:c r="E921" s="11" t="str">
        <x:v>Placholder for Ecological health restoration</x:v>
      </x:c>
      <x:c r="F921" s="20" t="n">
        <x:v>147006</x:v>
      </x:c>
      <x:c r="G921" s="8" t="str">
        <x:v>Other site infrastructure</x:v>
      </x:c>
      <x:c r="H921" s="8" t="str">
        <x:v>KGW November 2023 report; estimate dates not supplied</x:v>
      </x:c>
      <x:c r="I921" s="8" t="str">
        <x:v>https://flo.uri.sh/visualisation/15494950/embed</x:v>
      </x:c>
    </x:row>
    <x:row r="922" ht="46" customHeight="1">
      <x:c r="A922" s="7" t="n">
        <x:v>918</x:v>
      </x:c>
      <x:c r="B922" s="12" t="str">
        <x:v>Rose City Golf Course</x:v>
      </x:c>
      <x:c r="C922" s="12" t="str">
        <x:v>Replace old HVAC system</x:v>
      </x:c>
      <x:c r="D922" s="12" t="str">
        <x:v>Clubhouse</x:v>
      </x:c>
      <x:c r="E922" s="12" t="str">
        <x:v>Placeholder: replace HVAC system that was installed before 2000</x:v>
      </x:c>
      <x:c r="F922" s="21" t="n">
        <x:v>71689</x:v>
      </x:c>
      <x:c r="G922" s="7" t="str">
        <x:v>Buildings / building systems</x:v>
      </x:c>
      <x:c r="H922" s="7" t="str">
        <x:v>KGW November 2023 report; estimate dates not supplied</x:v>
      </x:c>
      <x:c r="I922" s="7" t="str">
        <x:v>https://flo.uri.sh/visualisation/15494950/embed</x:v>
      </x:c>
    </x:row>
    <x:row r="923" ht="46" customHeight="1">
      <x:c r="A923" s="8" t="n">
        <x:v>919</x:v>
      </x:c>
      <x:c r="B923" s="11" t="str">
        <x:v>Rose City Golf Course</x:v>
      </x:c>
      <x:c r="C923" s="11" t="str">
        <x:v>Renovate the Roof of Restroom - Storage building</x:v>
      </x:c>
      <x:c r="D923" s="11" t="str">
        <x:v>Restroom B</x:v>
      </x:c>
      <x:c r="E923" s="11" t="str">
        <x:v>Fix or replace the Roof that is rated 4 through buildings' assessment</x:v>
      </x:c>
      <x:c r="F923" s="20" t="n">
        <x:v>67089</x:v>
      </x:c>
      <x:c r="G923" s="8" t="str">
        <x:v>Buildings / building systems</x:v>
      </x:c>
      <x:c r="H923" s="8" t="str">
        <x:v>KGW November 2023 report; estimate dates not supplied</x:v>
      </x:c>
      <x:c r="I923" s="8" t="str">
        <x:v>https://flo.uri.sh/visualisation/15494950/embed</x:v>
      </x:c>
    </x:row>
    <x:row r="924" ht="46" customHeight="1">
      <x:c r="A924" s="7" t="n">
        <x:v>920</x:v>
      </x:c>
      <x:c r="B924" s="12" t="str">
        <x:v>Rose City Golf Course</x:v>
      </x:c>
      <x:c r="C924" s="12" t="str">
        <x:v>Renovate the Roof of Maintenance building</x:v>
      </x:c>
      <x:c r="D924" s="12" t="str">
        <x:v>Cart Barn</x:v>
      </x:c>
      <x:c r="E924" s="12" t="str">
        <x:v>Fix or replace the Roof that is rated 4 through buildings' assessment</x:v>
      </x:c>
      <x:c r="F924" s="21" t="n">
        <x:v>505398</x:v>
      </x:c>
      <x:c r="G924" s="7" t="str">
        <x:v>Buildings / building systems</x:v>
      </x:c>
      <x:c r="H924" s="7" t="str">
        <x:v>KGW November 2023 report; estimate dates not supplied</x:v>
      </x:c>
      <x:c r="I924" s="7" t="str">
        <x:v>https://flo.uri.sh/visualisation/15494950/embed</x:v>
      </x:c>
    </x:row>
    <x:row r="925" ht="46" customHeight="1">
      <x:c r="A925" s="8" t="n">
        <x:v>921</x:v>
      </x:c>
      <x:c r="B925" s="11" t="str">
        <x:v>Rose City Golf Course</x:v>
      </x:c>
      <x:c r="C925" s="11" t="str">
        <x:v>Renovate the Roof of Storage building</x:v>
      </x:c>
      <x:c r="D925" s="11" t="str">
        <x:v>Equipment Storage and pump house 3</x:v>
      </x:c>
      <x:c r="E925" s="11" t="str">
        <x:v>Fix or replace the Roof that is rated 4 through buildings' assessment</x:v>
      </x:c>
      <x:c r="F925" s="20" t="n">
        <x:v>479732</x:v>
      </x:c>
      <x:c r="G925" s="8" t="str">
        <x:v>Buildings / building systems</x:v>
      </x:c>
      <x:c r="H925" s="8" t="str">
        <x:v>KGW November 2023 report; estimate dates not supplied</x:v>
      </x:c>
      <x:c r="I925" s="8" t="str">
        <x:v>https://flo.uri.sh/visualisation/15494950/embed</x:v>
      </x:c>
    </x:row>
    <x:row r="926" ht="46" customHeight="1">
      <x:c r="A926" s="7" t="n">
        <x:v>922</x:v>
      </x:c>
      <x:c r="B926" s="12" t="str">
        <x:v>Rose City Golf Course</x:v>
      </x:c>
      <x:c r="C926" s="12" t="str">
        <x:v>Change light poles base connection</x:v>
      </x:c>
      <x:c r="D926" s="12" t="str">
        <x:v>Light poles</x:v>
      </x:c>
      <x:c r="E926" s="12"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1 approximately with estimated cost $3000/ pole.</x:v>
      </x:c>
      <x:c r="F926" s="21" t="n">
        <x:v>30600</x:v>
      </x:c>
      <x:c r="G926" s="7" t="str">
        <x:v>Utilities / lighting / drainage</x:v>
      </x:c>
      <x:c r="H926" s="7" t="str">
        <x:v>KGW November 2023 report; estimate dates not supplied</x:v>
      </x:c>
      <x:c r="I926" s="7" t="str">
        <x:v>https://flo.uri.sh/visualisation/15494950/embed</x:v>
      </x:c>
    </x:row>
    <x:row r="927" ht="46" customHeight="1">
      <x:c r="A927" s="8" t="n">
        <x:v>923</x:v>
      </x:c>
      <x:c r="B927" s="11" t="str">
        <x:v>Rose City Golf Course</x:v>
      </x:c>
      <x:c r="C927" s="11" t="str">
        <x:v>ESPC-III_Buildings Lighting to LEDs</x:v>
      </x:c>
      <x:c r="D927" s="11" t="str">
        <x:v>Storage</x:v>
      </x:c>
      <x:c r="E927" s="11" t="str">
        <x:v>LED conversion for Exterior and Interior Lights</x:v>
      </x:c>
      <x:c r="F927" s="20" t="n">
        <x:v>11760</x:v>
      </x:c>
      <x:c r="G927" s="8" t="str">
        <x:v>Buildings / building systems</x:v>
      </x:c>
      <x:c r="H927" s="8" t="str">
        <x:v>KGW November 2023 report; estimate dates not supplied</x:v>
      </x:c>
      <x:c r="I927" s="8" t="str">
        <x:v>https://flo.uri.sh/visualisation/15494950/embed</x:v>
      </x:c>
    </x:row>
    <x:row r="928" ht="46" customHeight="1">
      <x:c r="A928" s="7" t="n">
        <x:v>924</x:v>
      </x:c>
      <x:c r="B928" s="12" t="str">
        <x:v>Rose City Golf Course</x:v>
      </x:c>
      <x:c r="C928" s="12" t="str">
        <x:v>ESPC-III_Buildings Lighting to LEDs</x:v>
      </x:c>
      <x:c r="D928" s="12" t="str">
        <x:v>Restroom - Storage</x:v>
      </x:c>
      <x:c r="E928" s="12" t="str">
        <x:v>LED conversion for Exterior and Interior Lights</x:v>
      </x:c>
      <x:c r="F928" s="21" t="n">
        <x:v>11760</x:v>
      </x:c>
      <x:c r="G928" s="7" t="str">
        <x:v>Buildings / building systems</x:v>
      </x:c>
      <x:c r="H928" s="7" t="str">
        <x:v>KGW November 2023 report; estimate dates not supplied</x:v>
      </x:c>
      <x:c r="I928" s="7" t="str">
        <x:v>https://flo.uri.sh/visualisation/15494950/embed</x:v>
      </x:c>
    </x:row>
    <x:row r="929" ht="46" customHeight="1">
      <x:c r="A929" s="8" t="n">
        <x:v>925</x:v>
      </x:c>
      <x:c r="B929" s="11" t="str">
        <x:v>Rose City Park</x:v>
      </x:c>
      <x:c r="C929" s="11" t="str">
        <x:v>ESPC-II_ Rose City Park</x:v>
      </x:c>
      <x:c r="D929" s="11" t="str"/>
      <x:c r="E929" s="11" t="str">
        <x:v>Convert existing lighting to LED technology via a re-lamp approach.. FIM Name: 09.06-0573 Building Interior Lighting LED Conversion</x:v>
      </x:c>
      <x:c r="F929" s="20" t="n">
        <x:v>875</x:v>
      </x:c>
      <x:c r="G929" s="8" t="str">
        <x:v>Buildings / building systems</x:v>
      </x:c>
      <x:c r="H929" s="8" t="str">
        <x:v>KGW November 2023 report; estimate dates not supplied</x:v>
      </x:c>
      <x:c r="I929" s="8" t="str">
        <x:v>https://flo.uri.sh/visualisation/15494950/embed</x:v>
      </x:c>
    </x:row>
    <x:row r="930" ht="46" customHeight="1">
      <x:c r="A930" s="7" t="n">
        <x:v>926</x:v>
      </x:c>
      <x:c r="B930" s="12" t="str">
        <x:v>Rose City Park</x:v>
      </x:c>
      <x:c r="C930" s="12" t="str">
        <x:v>ESPC-II_ Rose City Park</x:v>
      </x:c>
      <x:c r="D930" s="12" t="str"/>
      <x:c r="E930" s="12" t="str">
        <x:v>Convert existing lighting to LED technology via a re-lamp approach.. FIM Name: 09.07-0573 Building Exterior Lighting LED Conversion</x:v>
      </x:c>
      <x:c r="F930" s="21" t="n">
        <x:v>85</x:v>
      </x:c>
      <x:c r="G930" s="7" t="str">
        <x:v>Buildings / building systems</x:v>
      </x:c>
      <x:c r="H930" s="7" t="str">
        <x:v>KGW November 2023 report; estimate dates not supplied</x:v>
      </x:c>
      <x:c r="I930" s="7" t="str">
        <x:v>https://flo.uri.sh/visualisation/15494950/embed</x:v>
      </x:c>
    </x:row>
    <x:row r="931" ht="46" customHeight="1">
      <x:c r="A931" s="8" t="n">
        <x:v>927</x:v>
      </x:c>
      <x:c r="B931" s="11" t="str">
        <x:v>Rose City Park</x:v>
      </x:c>
      <x:c r="C931" s="11" t="str">
        <x:v>ESPC-II_ Rose City Park</x:v>
      </x:c>
      <x:c r="D931" s="11" t="str"/>
      <x:c r="E931" s="11" t="str">
        <x:v>Rose City Park - Retro commission all irrigation sprinkler systems and heads to ensure proper thrown and timing. Replace 10% of all rotary and spray heads.. FIM Name: 18.10-0573 Irrigation System Improvements</x:v>
      </x:c>
      <x:c r="F931" s="20" t="n">
        <x:v>6618</x:v>
      </x:c>
      <x:c r="G931" s="8" t="str">
        <x:v>Utilities / lighting / drainage</x:v>
      </x:c>
      <x:c r="H931" s="8" t="str">
        <x:v>KGW November 2023 report; estimate dates not supplied</x:v>
      </x:c>
      <x:c r="I931" s="8" t="str">
        <x:v>https://flo.uri.sh/visualisation/15494950/embed</x:v>
      </x:c>
    </x:row>
    <x:row r="932" ht="46" customHeight="1">
      <x:c r="A932" s="7" t="n">
        <x:v>928</x:v>
      </x:c>
      <x:c r="B932" s="12" t="str">
        <x:v>Rose City Park</x:v>
      </x:c>
      <x:c r="C932" s="12" t="str">
        <x:v>Replace tennis court surface</x:v>
      </x:c>
      <x:c r="D932" s="12" t="str">
        <x:v>Rose City Park</x:v>
      </x:c>
      <x:c r="E932" s="12" t="str">
        <x:v>-The surface of tennis court is fully deteriorated, the surface and subgrade need to replace.  
-This project is derived from court assessment</x:v>
      </x:c>
      <x:c r="F932" s="21" t="n">
        <x:v>588024</x:v>
      </x:c>
      <x:c r="G932" s="7" t="str">
        <x:v>Fields / courts / play</x:v>
      </x:c>
      <x:c r="H932" s="7" t="str">
        <x:v>KGW November 2023 report; estimate dates not supplied</x:v>
      </x:c>
      <x:c r="I932" s="7" t="str">
        <x:v>https://flo.uri.sh/visualisation/15494950/embed</x:v>
      </x:c>
    </x:row>
    <x:row r="933" ht="46" customHeight="1">
      <x:c r="A933" s="8" t="n">
        <x:v>929</x:v>
      </x:c>
      <x:c r="B933" s="11" t="str">
        <x:v>Rose City Park</x:v>
      </x:c>
      <x:c r="C933" s="11" t="str">
        <x:v>Pathway Renovation</x:v>
      </x:c>
      <x:c r="D933" s="11" t="str">
        <x:v>Rose City Park</x:v>
      </x:c>
      <x:c r="E933" s="11" t="str">
        <x:v>Replace the damaged pathway, trails and sidewalks that have been rated as 4 and 5 in Pathway assessment</x:v>
      </x:c>
      <x:c r="F933" s="20" t="n">
        <x:v>47042</x:v>
      </x:c>
      <x:c r="G933" s="8" t="str">
        <x:v>Paths / access / bridges</x:v>
      </x:c>
      <x:c r="H933" s="8" t="str">
        <x:v>KGW November 2023 report; estimate dates not supplied</x:v>
      </x:c>
      <x:c r="I933" s="8" t="str">
        <x:v>https://flo.uri.sh/visualisation/15494950/embed</x:v>
      </x:c>
    </x:row>
    <x:row r="934" ht="46" customHeight="1">
      <x:c r="A934" s="7" t="n">
        <x:v>930</x:v>
      </x:c>
      <x:c r="B934" s="12" t="str">
        <x:v>Rose City Park</x:v>
      </x:c>
      <x:c r="C934" s="12" t="str">
        <x:v>ESPC-II_ Rose City Park</x:v>
      </x:c>
      <x:c r="D934" s="12" t="str"/>
      <x:c r="E934" s="12" t="str">
        <x:v>Install a GE control node on each pathway light fixture.  Node for parks with &lt;50 fixtures will be model #ELWM18BXXXXAD.  Node for parks with &gt;50 fixtures will be model #ELWN08BXXXXAD.. FIM Name: 09.17-0573 Building Exterior Lighting Controls</x:v>
      </x:c>
      <x:c r="F934" s="21" t="n">
        <x:v>366</x:v>
      </x:c>
      <x:c r="G934" s="7" t="str">
        <x:v>Buildings / building systems</x:v>
      </x:c>
      <x:c r="H934" s="7" t="str">
        <x:v>KGW November 2023 report; estimate dates not supplied</x:v>
      </x:c>
      <x:c r="I934" s="7" t="str">
        <x:v>https://flo.uri.sh/visualisation/15494950/embed</x:v>
      </x:c>
    </x:row>
    <x:row r="935" ht="46" customHeight="1">
      <x:c r="A935" s="8" t="n">
        <x:v>931</x:v>
      </x:c>
      <x:c r="B935" s="11" t="str">
        <x:v>Rose City Park</x:v>
      </x:c>
      <x:c r="C935" s="11" t="str">
        <x:v>Concrete stairs replacement</x:v>
      </x:c>
      <x:c r="D935" s="11" t="str">
        <x:v>Rose City Park</x:v>
      </x:c>
      <x:c r="E935" s="11" t="str">
        <x:v>The main entrance to the north side of the park has a concrete stairway with two levels on a perpendicular turn.  The lower level of stairs has a wide gap between the structural support wall and the concrete stairs.  Stairs have compromised structural integrity, and need to be replaced.</x:v>
      </x:c>
      <x:c r="F935" s="20" t="n">
        <x:v>217539</x:v>
      </x:c>
      <x:c r="G935" s="8" t="str">
        <x:v>Paths / access / bridges</x:v>
      </x:c>
      <x:c r="H935" s="8" t="str">
        <x:v>KGW November 2023 report; estimate dates not supplied</x:v>
      </x:c>
      <x:c r="I935" s="8" t="str">
        <x:v>https://flo.uri.sh/visualisation/15494950/embed</x:v>
      </x:c>
    </x:row>
    <x:row r="936" ht="46" customHeight="1">
      <x:c r="A936" s="7" t="n">
        <x:v>932</x:v>
      </x:c>
      <x:c r="B936" s="12" t="str">
        <x:v>Rose City Park</x:v>
      </x:c>
      <x:c r="C936" s="12" t="str">
        <x:v>Replace Backflow preventer device</x:v>
      </x:c>
      <x:c r="D936" s="12" t="str">
        <x:v>Property</x:v>
      </x:c>
      <x:c r="E936" s="12" t="str">
        <x:v>- Replace out of compliance backflow preventer
- Assembly: Double Check Valve Assembly (DCVA)
- Premises Isolation (PI): 3" Reduced Pressure (RP) + Enclosure. Serial # 03164
- Move to property line, if needed
- Hazard: Right of Way (ROW)</x:v>
      </x:c>
      <x:c r="F936" s="21" t="n">
        <x:v>10000</x:v>
      </x:c>
      <x:c r="G936" s="7" t="str">
        <x:v>Utilities / lighting / drainage</x:v>
      </x:c>
      <x:c r="H936" s="7" t="str">
        <x:v>KGW November 2023 report; estimate dates not supplied</x:v>
      </x:c>
      <x:c r="I936" s="7" t="str">
        <x:v>https://flo.uri.sh/visualisation/15494950/embed</x:v>
      </x:c>
    </x:row>
    <x:row r="937" ht="46" customHeight="1">
      <x:c r="A937" s="8" t="n">
        <x:v>933</x:v>
      </x:c>
      <x:c r="B937" s="11" t="str">
        <x:v>Rose City Park</x:v>
      </x:c>
      <x:c r="C937" s="11" t="str">
        <x:v>ESPC-II_ Rose City Park</x:v>
      </x:c>
      <x:c r="D937" s="11" t="str"/>
      <x:c r="E937" s="11" t="str">
        <x:v>Retrocommission all astronomical and mechanical timeclocks to ensure proper operation and correct current time.. FIM Name: 05.00-0573 Retro Commissioning Astronomical &amp; Mech Timeclocks</x:v>
      </x:c>
      <x:c r="F937" s="20" t="n">
        <x:v>1796</x:v>
      </x:c>
      <x:c r="G937" s="8" t="str">
        <x:v>Utilities / lighting / drainage</x:v>
      </x:c>
      <x:c r="H937" s="8" t="str">
        <x:v>KGW November 2023 report; estimate dates not supplied</x:v>
      </x:c>
      <x:c r="I937" s="8" t="str">
        <x:v>https://flo.uri.sh/visualisation/15494950/embed</x:v>
      </x:c>
    </x:row>
    <x:row r="938" ht="46" customHeight="1">
      <x:c r="A938" s="7" t="n">
        <x:v>934</x:v>
      </x:c>
      <x:c r="B938" s="12" t="str">
        <x:v>Rose City Park</x:v>
      </x:c>
      <x:c r="C938" s="12" t="str">
        <x:v>ESPC-II_ Rose City Park</x:v>
      </x:c>
      <x:c r="D938" s="12" t="str"/>
      <x:c r="E938" s="12" t="str">
        <x:v>Install low flow aerators, low flow shower heads, and RCx water closet flush valves.. FIM Name: 18.00-0573 Water Fixture Retrofits</x:v>
      </x:c>
      <x:c r="F938" s="21" t="n">
        <x:v>1027</x:v>
      </x:c>
      <x:c r="G938" s="7" t="str">
        <x:v>Utilities / lighting / drainage</x:v>
      </x:c>
      <x:c r="H938" s="7" t="str">
        <x:v>KGW November 2023 report; estimate dates not supplied</x:v>
      </x:c>
      <x:c r="I938" s="7" t="str">
        <x:v>https://flo.uri.sh/visualisation/15494950/embed</x:v>
      </x:c>
    </x:row>
    <x:row r="939" ht="46" customHeight="1">
      <x:c r="A939" s="8" t="n">
        <x:v>935</x:v>
      </x:c>
      <x:c r="B939" s="11" t="str">
        <x:v>Ross Island Natural Area</x:v>
      </x:c>
      <x:c r="C939" s="11" t="str">
        <x:v>Ecological Restoration_ Ross Island Natural Area</x:v>
      </x:c>
      <x:c r="D939" s="11" t="str"/>
      <x:c r="E939" s="11" t="str">
        <x:v>Placholder for Ecological health restoration
Part of (Oaks Crossing. And Ross &amp; Toe Islands) project</x:v>
      </x:c>
      <x:c r="F939" s="20" t="n">
        <x:v>49041</x:v>
      </x:c>
      <x:c r="G939" s="8" t="str">
        <x:v>Other site infrastructure</x:v>
      </x:c>
      <x:c r="H939" s="8" t="str">
        <x:v>KGW November 2023 report; estimate dates not supplied</x:v>
      </x:c>
      <x:c r="I939" s="8" t="str">
        <x:v>https://flo.uri.sh/visualisation/15494950/embed</x:v>
      </x:c>
    </x:row>
    <x:row r="940" ht="46" customHeight="1">
      <x:c r="A940" s="7" t="n">
        <x:v>936</x:v>
      </x:c>
      <x:c r="B940" s="12" t="str">
        <x:v>Sellwood Community Garden</x:v>
      </x:c>
      <x:c r="C940" s="12" t="str">
        <x:v>Pathway Renovation</x:v>
      </x:c>
      <x:c r="D940" s="12" t="str">
        <x:v>Internal Pathway/ Sidewalk</x:v>
      </x:c>
      <x:c r="E940" s="12" t="str">
        <x:v>Replace the damaged pathway, trails and sidewalks that have been rated as 4 and 5 in Pathway assessment</x:v>
      </x:c>
      <x:c r="F940" s="21" t="n">
        <x:v>11906</x:v>
      </x:c>
      <x:c r="G940" s="7" t="str">
        <x:v>Paths / access / bridges</x:v>
      </x:c>
      <x:c r="H940" s="7" t="str">
        <x:v>KGW November 2023 report; estimate dates not supplied</x:v>
      </x:c>
      <x:c r="I940" s="7" t="str">
        <x:v>https://flo.uri.sh/visualisation/15494950/embed</x:v>
      </x:c>
    </x:row>
    <x:row r="941" ht="46" customHeight="1">
      <x:c r="A941" s="8" t="n">
        <x:v>937</x:v>
      </x:c>
      <x:c r="B941" s="11" t="str">
        <x:v>Sellwood Park</x:v>
      </x:c>
      <x:c r="C941" s="11" t="str">
        <x:v>ESPC-II_ Sellwood Park</x:v>
      </x:c>
      <x:c r="D941" s="11" t="str"/>
      <x:c r="E941" s="11" t="str">
        <x:v>Convert existing lighting to LED technology via a re-lamp approach.. FIM Name: 09.07-0666 Building Exterior Lighting LED Conversion</x:v>
      </x:c>
      <x:c r="F941" s="20" t="n">
        <x:v>98</x:v>
      </x:c>
      <x:c r="G941" s="8" t="str">
        <x:v>Buildings / building systems</x:v>
      </x:c>
      <x:c r="H941" s="8" t="str">
        <x:v>KGW November 2023 report; estimate dates not supplied</x:v>
      </x:c>
      <x:c r="I941" s="8" t="str">
        <x:v>https://flo.uri.sh/visualisation/15494950/embed</x:v>
      </x:c>
    </x:row>
    <x:row r="942" ht="46" customHeight="1">
      <x:c r="A942" s="7" t="n">
        <x:v>938</x:v>
      </x:c>
      <x:c r="B942" s="12" t="str">
        <x:v>Sellwood Park</x:v>
      </x:c>
      <x:c r="C942" s="12" t="str">
        <x:v>Change light poles base connection</x:v>
      </x:c>
      <x:c r="D942" s="12" t="str">
        <x:v>Light poles</x:v>
      </x:c>
      <x:c r="E942" s="12"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24 approximately with estimated cost $3000/ pole.</x:v>
      </x:c>
      <x:c r="F942" s="21" t="n">
        <x:v>73440</x:v>
      </x:c>
      <x:c r="G942" s="7" t="str">
        <x:v>Utilities / lighting / drainage</x:v>
      </x:c>
      <x:c r="H942" s="7" t="str">
        <x:v>KGW November 2023 report; estimate dates not supplied</x:v>
      </x:c>
      <x:c r="I942" s="7" t="str">
        <x:v>https://flo.uri.sh/visualisation/15494950/embed</x:v>
      </x:c>
    </x:row>
    <x:row r="943" ht="46" customHeight="1">
      <x:c r="A943" s="8" t="n">
        <x:v>939</x:v>
      </x:c>
      <x:c r="B943" s="11" t="str">
        <x:v>Sellwood Park</x:v>
      </x:c>
      <x:c r="C943" s="11" t="str">
        <x:v>Renovate the Roof of Restroom - Storage building</x:v>
      </x:c>
      <x:c r="D943" s="11" t="str">
        <x:v>Restroom B</x:v>
      </x:c>
      <x:c r="E943" s="11" t="str">
        <x:v>Fix or replace the Roof that is rated 4 through buildings' assessment</x:v>
      </x:c>
      <x:c r="F943" s="20" t="n">
        <x:v>71864</x:v>
      </x:c>
      <x:c r="G943" s="8" t="str">
        <x:v>Buildings / building systems</x:v>
      </x:c>
      <x:c r="H943" s="8" t="str">
        <x:v>KGW November 2023 report; estimate dates not supplied</x:v>
      </x:c>
      <x:c r="I943" s="8" t="str">
        <x:v>https://flo.uri.sh/visualisation/15494950/embed</x:v>
      </x:c>
    </x:row>
    <x:row r="944" ht="46" customHeight="1">
      <x:c r="A944" s="7" t="n">
        <x:v>940</x:v>
      </x:c>
      <x:c r="B944" s="12" t="str">
        <x:v>Sellwood Park</x:v>
      </x:c>
      <x:c r="C944" s="12" t="str">
        <x:v>General Improvements to the building, HVAC, Window</x:v>
      </x:c>
      <x:c r="D944" s="12" t="str">
        <x:v>Sellwood Community Center</x:v>
      </x:c>
      <x:c r="E944" s="12" t="str">
        <x:v>General Improvements to Selwood CC including  Building envelope:  replace windows; Egress &amp; fire alarm corrections; structural repairs; HVAC upgrades; and correct interior ADA issues</x:v>
      </x:c>
      <x:c r="F944" s="21" t="n">
        <x:v>5139608</x:v>
      </x:c>
      <x:c r="G944" s="7" t="str">
        <x:v>Buildings / building systems</x:v>
      </x:c>
      <x:c r="H944" s="7" t="str">
        <x:v>KGW November 2023 report; estimate dates not supplied</x:v>
      </x:c>
      <x:c r="I944" s="7" t="str">
        <x:v>https://flo.uri.sh/visualisation/15494950/embed</x:v>
      </x:c>
    </x:row>
    <x:row r="945" ht="46" customHeight="1">
      <x:c r="A945" s="8" t="n">
        <x:v>941</x:v>
      </x:c>
      <x:c r="B945" s="11" t="str">
        <x:v>Sellwood Park</x:v>
      </x:c>
      <x:c r="C945" s="11" t="str">
        <x:v>Repair of the tennis court and pickelball</x:v>
      </x:c>
      <x:c r="D945" s="11" t="str">
        <x:v>Sellwood Park</x:v>
      </x:c>
      <x:c r="E945" s="11" t="str">
        <x:v>- Replacement/repair of the tennis court and stripping for pickelball.
- Old Description: *PENDING SUPPORT FROM EXECUTED PI PLAN AND SMT.  Change upper tennis court to pickle ball court, a popular sport.</x:v>
      </x:c>
      <x:c r="F945" s="20" t="n">
        <x:v>470419</x:v>
      </x:c>
      <x:c r="G945" s="8" t="str">
        <x:v>Fields / courts / play</x:v>
      </x:c>
      <x:c r="H945" s="8" t="str">
        <x:v>KGW November 2023 report; estimate dates not supplied</x:v>
      </x:c>
      <x:c r="I945" s="8" t="str">
        <x:v>https://flo.uri.sh/visualisation/15494950/embed</x:v>
      </x:c>
    </x:row>
    <x:row r="946" ht="46" customHeight="1">
      <x:c r="A946" s="7" t="n">
        <x:v>942</x:v>
      </x:c>
      <x:c r="B946" s="12" t="str">
        <x:v>Sellwood Park</x:v>
      </x:c>
      <x:c r="C946" s="12" t="str">
        <x:v>Pathway Renovation</x:v>
      </x:c>
      <x:c r="D946" s="12" t="str">
        <x:v>Sellwood Park</x:v>
      </x:c>
      <x:c r="E946" s="12" t="str">
        <x:v>Replace the damaged pathway, trails and sidewalks that have been rated as 4 and 5 in Pathway assessment</x:v>
      </x:c>
      <x:c r="F946" s="21" t="n">
        <x:v>388261</x:v>
      </x:c>
      <x:c r="G946" s="7" t="str">
        <x:v>Paths / access / bridges</x:v>
      </x:c>
      <x:c r="H946" s="7" t="str">
        <x:v>KGW November 2023 report; estimate dates not supplied</x:v>
      </x:c>
      <x:c r="I946" s="7" t="str">
        <x:v>https://flo.uri.sh/visualisation/15494950/embed</x:v>
      </x:c>
    </x:row>
    <x:row r="947" ht="46" customHeight="1">
      <x:c r="A947" s="8" t="n">
        <x:v>943</x:v>
      </x:c>
      <x:c r="B947" s="11" t="str">
        <x:v>Sellwood Park</x:v>
      </x:c>
      <x:c r="C947" s="11" t="str">
        <x:v>ESPC-II_ Sellwood Park</x:v>
      </x:c>
      <x:c r="D947" s="11" t="str"/>
      <x:c r="E947" s="11" t="str">
        <x:v>Install a GE control node on each pathway light fixture.  Node for parks with &lt;50 fixtures will be model #ELWM18BXXXXAD.  Node for parks with &gt;50 fixtures will be model #ELWN08BXXXXAD.. FIM Name: 09.17-0666 Building Exterior Lighting Controls</x:v>
      </x:c>
      <x:c r="F947" s="20" t="n">
        <x:v>366</x:v>
      </x:c>
      <x:c r="G947" s="8" t="str">
        <x:v>Buildings / building systems</x:v>
      </x:c>
      <x:c r="H947" s="8" t="str">
        <x:v>KGW November 2023 report; estimate dates not supplied</x:v>
      </x:c>
      <x:c r="I947" s="8" t="str">
        <x:v>https://flo.uri.sh/visualisation/15494950/embed</x:v>
      </x:c>
    </x:row>
    <x:row r="948" ht="46" customHeight="1">
      <x:c r="A948" s="7" t="n">
        <x:v>944</x:v>
      </x:c>
      <x:c r="B948" s="12" t="str">
        <x:v>Sellwood Park</x:v>
      </x:c>
      <x:c r="C948" s="12" t="str">
        <x:v>Boiler Replacement</x:v>
      </x:c>
      <x:c r="D948" s="12" t="str">
        <x:v>Sellwood Pool</x:v>
      </x:c>
      <x:c r="E948" s="12" t="str">
        <x:v>Replace failing boiler and heat exchanger, piping and registers.  They are past their useful life. Add ventilation system and sprinklers system</x:v>
      </x:c>
      <x:c r="F948" s="21" t="n">
        <x:v>338237</x:v>
      </x:c>
      <x:c r="G948" s="7" t="str">
        <x:v>Pools / aquatics</x:v>
      </x:c>
      <x:c r="H948" s="7" t="str">
        <x:v>KGW November 2023 report; estimate dates not supplied</x:v>
      </x:c>
      <x:c r="I948" s="7" t="str">
        <x:v>https://flo.uri.sh/visualisation/15494950/embed</x:v>
      </x:c>
    </x:row>
    <x:row r="949" ht="46" customHeight="1">
      <x:c r="A949" s="8" t="n">
        <x:v>945</x:v>
      </x:c>
      <x:c r="B949" s="11" t="str">
        <x:v>Sellwood Park</x:v>
      </x:c>
      <x:c r="C949" s="11" t="str">
        <x:v>Replace Backflow preventer device</x:v>
      </x:c>
      <x:c r="D949" s="11" t="str">
        <x:v>Irrigation</x:v>
      </x:c>
      <x:c r="E949" s="11" t="str">
        <x:v>- Replace out of compliance backflow preventers
- Assembly: Double Check Valve Assembly (DCVA) and Reduced Pressure Backflow Assembly (RPBA)
- Move to property line, if needed
- Hazard: well site
- See components for detail</x:v>
      </x:c>
      <x:c r="F949" s="20" t="n">
        <x:v>24000</x:v>
      </x:c>
      <x:c r="G949" s="8" t="str">
        <x:v>Utilities / lighting / drainage</x:v>
      </x:c>
      <x:c r="H949" s="8" t="str">
        <x:v>KGW November 2023 report; estimate dates not supplied</x:v>
      </x:c>
      <x:c r="I949" s="8" t="str">
        <x:v>https://flo.uri.sh/visualisation/15494950/embed</x:v>
      </x:c>
    </x:row>
    <x:row r="950" ht="46" customHeight="1">
      <x:c r="A950" s="7" t="n">
        <x:v>946</x:v>
      </x:c>
      <x:c r="B950" s="12" t="str">
        <x:v>Sellwood Park</x:v>
      </x:c>
      <x:c r="C950" s="12" t="str">
        <x:v>Sellwood Pool Solar Thermal Installation</x:v>
      </x:c>
      <x:c r="D950" s="12" t="str">
        <x:v>Sellwood Pool</x:v>
      </x:c>
      <x:c r="E950" s="12" t="str">
        <x:v>Installation of a new solar thermal hot water system.</x:v>
      </x:c>
      <x:c r="F950" s="21" t="n">
        <x:v>20537</x:v>
      </x:c>
      <x:c r="G950" s="7" t="str">
        <x:v>Pools / aquatics</x:v>
      </x:c>
      <x:c r="H950" s="7" t="str">
        <x:v>KGW November 2023 report; estimate dates not supplied</x:v>
      </x:c>
      <x:c r="I950" s="7" t="str">
        <x:v>https://flo.uri.sh/visualisation/15494950/embed</x:v>
      </x:c>
    </x:row>
    <x:row r="951" ht="46" customHeight="1">
      <x:c r="A951" s="8" t="n">
        <x:v>947</x:v>
      </x:c>
      <x:c r="B951" s="11" t="str">
        <x:v>Sellwood Park</x:v>
      </x:c>
      <x:c r="C951" s="11" t="str">
        <x:v>Sellwood Pool Replaster</x:v>
      </x:c>
      <x:c r="D951" s="11" t="str">
        <x:v>Sellwood Pool</x:v>
      </x:c>
      <x:c r="E951" s="11" t="str">
        <x:v>- This is Recurrence paroject that due every 10. Sellwood pool will need to be replastered on or before 2024. See Project phases
- We try to replaster one pool per year to keep them operational.  Filter and boiler are also overdue.  Pool at risk of closure/not being heated.</x:v>
      </x:c>
      <x:c r="F951" s="20" t="n">
        <x:v>2261677</x:v>
      </x:c>
      <x:c r="G951" s="8" t="str">
        <x:v>Pools / aquatics</x:v>
      </x:c>
      <x:c r="H951" s="8" t="str">
        <x:v>KGW November 2023 report; estimate dates not supplied</x:v>
      </x:c>
      <x:c r="I951" s="8" t="str">
        <x:v>https://flo.uri.sh/visualisation/15494950/embed</x:v>
      </x:c>
    </x:row>
    <x:row r="952" ht="46" customHeight="1">
      <x:c r="A952" s="7" t="n">
        <x:v>948</x:v>
      </x:c>
      <x:c r="B952" s="12" t="str">
        <x:v>Sellwood Park</x:v>
      </x:c>
      <x:c r="C952" s="12" t="str">
        <x:v>Renovate the Structure of Restroom building</x:v>
      </x:c>
      <x:c r="D952" s="12" t="str">
        <x:v>Restroom A</x:v>
      </x:c>
      <x:c r="E952" s="12" t="str">
        <x:v>Fix or replace the Structure that is rated 4 through buildings' assessment</x:v>
      </x:c>
      <x:c r="F952" s="21" t="n">
        <x:v>19746</x:v>
      </x:c>
      <x:c r="G952" s="7" t="str">
        <x:v>Buildings / building systems</x:v>
      </x:c>
      <x:c r="H952" s="7" t="str">
        <x:v>KGW November 2023 report; estimate dates not supplied</x:v>
      </x:c>
      <x:c r="I952" s="7" t="str">
        <x:v>https://flo.uri.sh/visualisation/15494950/embed</x:v>
      </x:c>
    </x:row>
    <x:row r="953" ht="46" customHeight="1">
      <x:c r="A953" s="8" t="n">
        <x:v>949</x:v>
      </x:c>
      <x:c r="B953" s="11" t="str">
        <x:v>Sellwood Park</x:v>
      </x:c>
      <x:c r="C953" s="11" t="str">
        <x:v>ESPC-II_ Sellwood Park</x:v>
      </x:c>
      <x:c r="D953" s="11" t="str"/>
      <x:c r="E953" s="11" t="str">
        <x:v>Sellwood Park - Retro commission all irrigation sprinkler systems and heads to ensure proper thrown and timing. Replace 10% of all rotary and spray heads.. FIM Name: 18.10-0666 Irrigation System Improvements</x:v>
      </x:c>
      <x:c r="F953" s="20" t="n">
        <x:v>17655</x:v>
      </x:c>
      <x:c r="G953" s="8" t="str">
        <x:v>Utilities / lighting / drainage</x:v>
      </x:c>
      <x:c r="H953" s="8" t="str">
        <x:v>KGW November 2023 report; estimate dates not supplied</x:v>
      </x:c>
      <x:c r="I953" s="8" t="str">
        <x:v>https://flo.uri.sh/visualisation/15494950/embed</x:v>
      </x:c>
    </x:row>
    <x:row r="954" ht="46" customHeight="1">
      <x:c r="A954" s="7" t="n">
        <x:v>950</x:v>
      </x:c>
      <x:c r="B954" s="12" t="str">
        <x:v>Sellwood Park</x:v>
      </x:c>
      <x:c r="C954" s="12" t="str">
        <x:v>Sport court renovation</x:v>
      </x:c>
      <x:c r="D954" s="12" t="str">
        <x:v>Basketball court 1</x:v>
      </x:c>
      <x:c r="E954" s="12" t="str">
        <x:v>Renovate courts rated 4 or 5 in condition assessment</x:v>
      </x:c>
      <x:c r="F954" s="21" t="n">
        <x:v>129000</x:v>
      </x:c>
      <x:c r="G954" s="7" t="str">
        <x:v>Fields / courts / play</x:v>
      </x:c>
      <x:c r="H954" s="7" t="str">
        <x:v>KGW November 2023 report; estimate dates not supplied</x:v>
      </x:c>
      <x:c r="I954" s="7" t="str">
        <x:v>https://flo.uri.sh/visualisation/15494950/embed</x:v>
      </x:c>
    </x:row>
    <x:row r="955" ht="46" customHeight="1">
      <x:c r="A955" s="8" t="n">
        <x:v>951</x:v>
      </x:c>
      <x:c r="B955" s="11" t="str">
        <x:v>Sellwood Park</x:v>
      </x:c>
      <x:c r="C955" s="11" t="str">
        <x:v>Pool sand filter replacment</x:v>
      </x:c>
      <x:c r="D955" s="11" t="str">
        <x:v>Sellwood Pool</x:v>
      </x:c>
      <x:c r="E955" s="11" t="str">
        <x:v>-The filter wasn’t serviced since installed in 1997, and it needs to be serviced every 15-20 years.
- The filter can not be serviced by PPK shop because of insufficient clearence to access the filter
- This Project is impotant and urgent. Attached email from Andy Amato states that failing started in these filters.</x:v>
      </x:c>
      <x:c r="F955" s="20" t="n">
        <x:v>117605</x:v>
      </x:c>
      <x:c r="G955" s="8" t="str">
        <x:v>Pools / aquatics</x:v>
      </x:c>
      <x:c r="H955" s="8" t="str">
        <x:v>KGW November 2023 report; estimate dates not supplied</x:v>
      </x:c>
      <x:c r="I955" s="8" t="str">
        <x:v>https://flo.uri.sh/visualisation/15494950/embed</x:v>
      </x:c>
    </x:row>
    <x:row r="956" ht="46" customHeight="1">
      <x:c r="A956" s="7" t="n">
        <x:v>952</x:v>
      </x:c>
      <x:c r="B956" s="12" t="str">
        <x:v>Sellwood Park</x:v>
      </x:c>
      <x:c r="C956" s="12" t="str">
        <x:v>UV System for Sellwood Pool</x:v>
      </x:c>
      <x:c r="D956" s="12" t="str">
        <x:v>Sellwood Pool</x:v>
      </x:c>
      <x:c r="E956" s="12" t="str">
        <x:v>Add UV system to pool filter, increasing the quality of the pool environment and improving disease prevention.</x:v>
      </x:c>
      <x:c r="F956" s="21" t="n">
        <x:v>108566</x:v>
      </x:c>
      <x:c r="G956" s="7" t="str">
        <x:v>Pools / aquatics</x:v>
      </x:c>
      <x:c r="H956" s="7" t="str">
        <x:v>KGW November 2023 report; estimate dates not supplied</x:v>
      </x:c>
      <x:c r="I956" s="7" t="str">
        <x:v>https://flo.uri.sh/visualisation/15494950/embed</x:v>
      </x:c>
    </x:row>
    <x:row r="957" ht="46" customHeight="1">
      <x:c r="A957" s="8" t="n">
        <x:v>953</x:v>
      </x:c>
      <x:c r="B957" s="11" t="str">
        <x:v>Sellwood Park</x:v>
      </x:c>
      <x:c r="C957" s="11" t="str">
        <x:v>ESPC-II_ Sellwood Park</x:v>
      </x:c>
      <x:c r="D957" s="11" t="str"/>
      <x:c r="E957" s="11" t="str">
        <x:v>Convert existing lighting to LED technology via a re-lamp approach.. FIM Name: 09.06-0666 Building Interior Lighting LED Conversion</x:v>
      </x:c>
      <x:c r="F957" s="20" t="n">
        <x:v>1225</x:v>
      </x:c>
      <x:c r="G957" s="8" t="str">
        <x:v>Buildings / building systems</x:v>
      </x:c>
      <x:c r="H957" s="8" t="str">
        <x:v>KGW November 2023 report; estimate dates not supplied</x:v>
      </x:c>
      <x:c r="I957" s="8" t="str">
        <x:v>https://flo.uri.sh/visualisation/15494950/embed</x:v>
      </x:c>
    </x:row>
    <x:row r="958" ht="46" customHeight="1">
      <x:c r="A958" s="7" t="n">
        <x:v>954</x:v>
      </x:c>
      <x:c r="B958" s="12" t="str">
        <x:v>Sellwood Riverfront Park</x:v>
      </x:c>
      <x:c r="C958" s="12" t="str">
        <x:v>Ecological Restoration_ Sellwood Riverfront Park</x:v>
      </x:c>
      <x:c r="D958" s="12" t="str"/>
      <x:c r="E958" s="12" t="str">
        <x:v>Placholder for Ecological health restoration
Part of (Oaks Bottom Wildlife Refuge-Includes Sellwood River Front) project</x:v>
      </x:c>
      <x:c r="F958" s="21" t="n">
        <x:v>73503</x:v>
      </x:c>
      <x:c r="G958" s="7" t="str">
        <x:v>Other site infrastructure</x:v>
      </x:c>
      <x:c r="H958" s="7" t="str">
        <x:v>KGW November 2023 report; estimate dates not supplied</x:v>
      </x:c>
      <x:c r="I958" s="7" t="str">
        <x:v>https://flo.uri.sh/visualisation/15494950/embed</x:v>
      </x:c>
    </x:row>
    <x:row r="959" ht="46" customHeight="1">
      <x:c r="A959" s="8" t="n">
        <x:v>955</x:v>
      </x:c>
      <x:c r="B959" s="11" t="str">
        <x:v>Sellwood Riverfront Park</x:v>
      </x:c>
      <x:c r="C959" s="11" t="str">
        <x:v>Renovate the Structure of Restroom building</x:v>
      </x:c>
      <x:c r="D959" s="11" t="str">
        <x:v>Restroom A</x:v>
      </x:c>
      <x:c r="E959" s="11" t="str">
        <x:v>Fix or replace the Structure that is rated 4 through buildings' assessment</x:v>
      </x:c>
      <x:c r="F959" s="20" t="n">
        <x:v>62020</x:v>
      </x:c>
      <x:c r="G959" s="8" t="str">
        <x:v>Buildings / building systems</x:v>
      </x:c>
      <x:c r="H959" s="8" t="str">
        <x:v>KGW November 2023 report; estimate dates not supplied</x:v>
      </x:c>
      <x:c r="I959" s="8" t="str">
        <x:v>https://flo.uri.sh/visualisation/15494950/embed</x:v>
      </x:c>
    </x:row>
    <x:row r="960" ht="46" customHeight="1">
      <x:c r="A960" s="7" t="n">
        <x:v>956</x:v>
      </x:c>
      <x:c r="B960" s="12" t="str">
        <x:v>Sellwood Riverfront Park</x:v>
      </x:c>
      <x:c r="C960" s="12" t="str">
        <x:v>ESPC-II_ Sellwood Riverfront Park</x:v>
      </x:c>
      <x:c r="D960" s="12" t="str"/>
      <x:c r="E960" s="12" t="str">
        <x:v>Sellwood Riverfront Park - Retro commission all irrigation sprinkler systems and heads to ensure proper thrown and timing. Replace 10% of all rotary and spray heads.. FIM Name: 18.10-0668 Irrigation System Improvements</x:v>
      </x:c>
      <x:c r="F960" s="21" t="n">
        <x:v>6427</x:v>
      </x:c>
      <x:c r="G960" s="7" t="str">
        <x:v>Utilities / lighting / drainage</x:v>
      </x:c>
      <x:c r="H960" s="7" t="str">
        <x:v>KGW November 2023 report; estimate dates not supplied</x:v>
      </x:c>
      <x:c r="I960" s="7" t="str">
        <x:v>https://flo.uri.sh/visualisation/15494950/embed</x:v>
      </x:c>
    </x:row>
    <x:row r="961" ht="46" customHeight="1">
      <x:c r="A961" s="8" t="n">
        <x:v>957</x:v>
      </x:c>
      <x:c r="B961" s="11" t="str">
        <x:v>Sellwood Riverfront Park</x:v>
      </x:c>
      <x:c r="C961" s="11" t="str">
        <x:v>Repair sea wall retaining wall</x:v>
      </x:c>
      <x:c r="D961" s="11" t="str">
        <x:v>Handrail</x:v>
      </x:c>
      <x:c r="E961" s="11" t="str">
        <x:v>- Sea wall hand rail is leaning and there are gaps in the corners.
North end stairwell corner has been secured due to fall hazard
- Retaining wall pulling apart in corners</x:v>
      </x:c>
      <x:c r="F961" s="20" t="n">
        <x:v>57855</x:v>
      </x:c>
      <x:c r="G961" s="8" t="str">
        <x:v>Paths / access / bridges</x:v>
      </x:c>
      <x:c r="H961" s="8" t="str">
        <x:v>KGW November 2023 report; estimate dates not supplied</x:v>
      </x:c>
      <x:c r="I961" s="8" t="str">
        <x:v>https://flo.uri.sh/visualisation/15494950/embed</x:v>
      </x:c>
    </x:row>
    <x:row r="962" ht="46" customHeight="1">
      <x:c r="A962" s="7" t="n">
        <x:v>958</x:v>
      </x:c>
      <x:c r="B962" s="12" t="str">
        <x:v>Sellwood Riverfront Park</x:v>
      </x:c>
      <x:c r="C962" s="12" t="str">
        <x:v>ESPC-II_ Sellwood Riverfront Park</x:v>
      </x:c>
      <x:c r="D962" s="12" t="str"/>
      <x:c r="E962" s="12" t="str">
        <x:v>Install a GE control node on each pathway light fixture.  Node for parks with &lt;50 fixtures will be model #ELWM1A8BXXXXAD.  Node for parks with &gt;50 fixtures will be model #ELWN0A8BXXXXAD.. FIM Name: 09.10-0668 Pathway Lighting Controls</x:v>
      </x:c>
      <x:c r="F962" s="21" t="n">
        <x:v>5126</x:v>
      </x:c>
      <x:c r="G962" s="7" t="str">
        <x:v>Paths / access / bridges</x:v>
      </x:c>
      <x:c r="H962" s="7" t="str">
        <x:v>KGW November 2023 report; estimate dates not supplied</x:v>
      </x:c>
      <x:c r="I962" s="7" t="str">
        <x:v>https://flo.uri.sh/visualisation/15494950/embed</x:v>
      </x:c>
    </x:row>
    <x:row r="963" ht="46" customHeight="1">
      <x:c r="A963" s="8" t="n">
        <x:v>959</x:v>
      </x:c>
      <x:c r="B963" s="11" t="str">
        <x:v>Sellwood Riverfront Park</x:v>
      </x:c>
      <x:c r="C963" s="11" t="str">
        <x:v>Change light poles base connection</x:v>
      </x:c>
      <x:c r="D963" s="11" t="str">
        <x:v>Light poles</x:v>
      </x:c>
      <x:c r="E963"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14 approximately with estimated cost $3000/ pole.</x:v>
      </x:c>
      <x:c r="F963" s="20" t="n">
        <x:v>42840</x:v>
      </x:c>
      <x:c r="G963" s="8" t="str">
        <x:v>Utilities / lighting / drainage</x:v>
      </x:c>
      <x:c r="H963" s="8" t="str">
        <x:v>KGW November 2023 report; estimate dates not supplied</x:v>
      </x:c>
      <x:c r="I963" s="8" t="str">
        <x:v>https://flo.uri.sh/visualisation/15494950/embed</x:v>
      </x:c>
    </x:row>
    <x:row r="964" ht="46" customHeight="1">
      <x:c r="A964" s="7" t="n">
        <x:v>960</x:v>
      </x:c>
      <x:c r="B964" s="12" t="str">
        <x:v>Sellwood Riverfront Park</x:v>
      </x:c>
      <x:c r="C964" s="12" t="str">
        <x:v>Pathway Renovation</x:v>
      </x:c>
      <x:c r="D964" s="12" t="str">
        <x:v>Sellwood Riverfront Park</x:v>
      </x:c>
      <x:c r="E964" s="12" t="str">
        <x:v>Replace the damaged pathway, trails and sidewalks that have been rated as 4 and 5 in Pathway assessment</x:v>
      </x:c>
      <x:c r="F964" s="21" t="n">
        <x:v>352814</x:v>
      </x:c>
      <x:c r="G964" s="7" t="str">
        <x:v>Paths / access / bridges</x:v>
      </x:c>
      <x:c r="H964" s="7" t="str">
        <x:v>KGW November 2023 report; estimate dates not supplied</x:v>
      </x:c>
      <x:c r="I964" s="7" t="str">
        <x:v>https://flo.uri.sh/visualisation/15494950/embed</x:v>
      </x:c>
    </x:row>
    <x:row r="965" ht="46" customHeight="1">
      <x:c r="A965" s="8" t="n">
        <x:v>961</x:v>
      </x:c>
      <x:c r="B965" s="11" t="str">
        <x:v>Sellwood Riverfront Park</x:v>
      </x:c>
      <x:c r="C965" s="11" t="str">
        <x:v>ESPC-II_ Sellwood Riverfront Park</x:v>
      </x:c>
      <x:c r="D965" s="11" t="str"/>
      <x:c r="E965" s="11" t="str">
        <x:v>Convert existing lighting to LED technology via a re-lamp approach.. FIM Name: 09.07-0668 Building Exterior Lighting LED Conversion</x:v>
      </x:c>
      <x:c r="F965" s="20" t="n">
        <x:v>340</x:v>
      </x:c>
      <x:c r="G965" s="8" t="str">
        <x:v>Buildings / building systems</x:v>
      </x:c>
      <x:c r="H965" s="8" t="str">
        <x:v>KGW November 2023 report; estimate dates not supplied</x:v>
      </x:c>
      <x:c r="I965" s="8" t="str">
        <x:v>https://flo.uri.sh/visualisation/15494950/embed</x:v>
      </x:c>
    </x:row>
    <x:row r="966" ht="46" customHeight="1">
      <x:c r="A966" s="7" t="n">
        <x:v>962</x:v>
      </x:c>
      <x:c r="B966" s="12" t="str">
        <x:v>Sellwood Riverfront Park</x:v>
      </x:c>
      <x:c r="C966" s="12" t="str">
        <x:v>ESPC-II_ Sellwood Riverfront Park</x:v>
      </x:c>
      <x:c r="D966" s="12" t="str"/>
      <x:c r="E966" s="12" t="str">
        <x:v>Convert existing lighting to LED technology via a re-lamp approach.. FIM Name: 09.06-0668 Building Interior Lighting LED Conversion</x:v>
      </x:c>
      <x:c r="F966" s="21" t="n">
        <x:v>2239</x:v>
      </x:c>
      <x:c r="G966" s="7" t="str">
        <x:v>Buildings / building systems</x:v>
      </x:c>
      <x:c r="H966" s="7" t="str">
        <x:v>KGW November 2023 report; estimate dates not supplied</x:v>
      </x:c>
      <x:c r="I966" s="7" t="str">
        <x:v>https://flo.uri.sh/visualisation/15494950/embed</x:v>
      </x:c>
    </x:row>
    <x:row r="967" ht="46" customHeight="1">
      <x:c r="A967" s="8" t="n">
        <x:v>963</x:v>
      </x:c>
      <x:c r="B967" s="11" t="str">
        <x:v>Sellwood Riverfront Park</x:v>
      </x:c>
      <x:c r="C967" s="11" t="str">
        <x:v>Replace Backflow preventer device</x:v>
      </x:c>
      <x:c r="D967" s="11" t="str">
        <x:v>Property</x:v>
      </x:c>
      <x:c r="E967" s="11" t="str">
        <x:v>- Replace out of compliance backflow preventer
- Assembly: Double Check Valve Assembly (DCVA)
- Premises Isolation (PI): 2" Reduced Pressure (RP) + Enclosure. Serial # KR554
- Move to property line, if needed
- Hazard: Flood plain</x:v>
      </x:c>
      <x:c r="F967" s="20" t="n">
        <x:v>10000</x:v>
      </x:c>
      <x:c r="G967" s="8" t="str">
        <x:v>Utilities / lighting / drainage</x:v>
      </x:c>
      <x:c r="H967" s="8" t="str">
        <x:v>KGW November 2023 report; estimate dates not supplied</x:v>
      </x:c>
      <x:c r="I967" s="8" t="str">
        <x:v>https://flo.uri.sh/visualisation/15494950/embed</x:v>
      </x:c>
    </x:row>
    <x:row r="968" ht="46" customHeight="1">
      <x:c r="A968" s="7" t="n">
        <x:v>964</x:v>
      </x:c>
      <x:c r="B968" s="12" t="str">
        <x:v>Sellwood Riverfront Park</x:v>
      </x:c>
      <x:c r="C968" s="12" t="str">
        <x:v>ESPC-II_ Sellwood Riverfront Park</x:v>
      </x:c>
      <x:c r="D968" s="12" t="str"/>
      <x:c r="E968" s="12" t="str">
        <x:v>Install a GE control node on each pathway light fixture.  Node for parks with &lt;50 fixtures will be model #ELWM18BXXXXAD.  Node for parks with &gt;50 fixtures will be model #ELWN08BXXXXAD.. FIM Name: 09.17-0668 Building Exterior Lighting Controls</x:v>
      </x:c>
      <x:c r="F968" s="21" t="n">
        <x:v>1464</x:v>
      </x:c>
      <x:c r="G968" s="7" t="str">
        <x:v>Buildings / building systems</x:v>
      </x:c>
      <x:c r="H968" s="7" t="str">
        <x:v>KGW November 2023 report; estimate dates not supplied</x:v>
      </x:c>
      <x:c r="I968" s="7" t="str">
        <x:v>https://flo.uri.sh/visualisation/15494950/embed</x:v>
      </x:c>
    </x:row>
    <x:row r="969" ht="46" customHeight="1">
      <x:c r="A969" s="8" t="n">
        <x:v>965</x:v>
      </x:c>
      <x:c r="B969" s="11" t="str">
        <x:v>Senns Dairy Park</x:v>
      </x:c>
      <x:c r="C969" s="11" t="str">
        <x:v>Pathway Renovation</x:v>
      </x:c>
      <x:c r="D969" s="11" t="str">
        <x:v>Senns Dairy Park</x:v>
      </x:c>
      <x:c r="E969" s="11" t="str">
        <x:v>Replace the damaged pathway, trails and sidewalks that have been rated as 5 in Pathway assessment</x:v>
      </x:c>
      <x:c r="F969" s="20" t="n">
        <x:v>35480</x:v>
      </x:c>
      <x:c r="G969" s="8" t="str">
        <x:v>Paths / access / bridges</x:v>
      </x:c>
      <x:c r="H969" s="8" t="str">
        <x:v>KGW November 2023 report; estimate dates not supplied</x:v>
      </x:c>
      <x:c r="I969" s="8" t="str">
        <x:v>https://flo.uri.sh/visualisation/15494950/embed</x:v>
      </x:c>
    </x:row>
    <x:row r="970" ht="46" customHeight="1">
      <x:c r="A970" s="7" t="n">
        <x:v>966</x:v>
      </x:c>
      <x:c r="B970" s="12" t="str">
        <x:v>Senns Dairy Park</x:v>
      </x:c>
      <x:c r="C970" s="12" t="str">
        <x:v>Playground renovation</x:v>
      </x:c>
      <x:c r="D970" s="12" t="str">
        <x:v>Play Area A</x:v>
      </x:c>
      <x:c r="E970" s="12" t="str">
        <x:v>Renovation or repair playground that was rated as 4
 during playground assessment in 2020</x:v>
      </x:c>
      <x:c r="F970" s="21" t="n">
        <x:v>201504</x:v>
      </x:c>
      <x:c r="G970" s="7" t="str">
        <x:v>Fields / courts / play</x:v>
      </x:c>
      <x:c r="H970" s="7" t="str">
        <x:v>KGW November 2023 report; estimate dates not supplied</x:v>
      </x:c>
      <x:c r="I970" s="7" t="str">
        <x:v>https://flo.uri.sh/visualisation/15494950/embed</x:v>
      </x:c>
    </x:row>
    <x:row r="971" ht="46" customHeight="1">
      <x:c r="A971" s="8" t="n">
        <x:v>967</x:v>
      </x:c>
      <x:c r="B971" s="11" t="str">
        <x:v>Sewallcrest Park</x:v>
      </x:c>
      <x:c r="C971" s="11" t="str">
        <x:v>ESPC-III_Pathway Lighting to LEDs</x:v>
      </x:c>
      <x:c r="D971" s="11" t="str"/>
      <x:c r="E971" s="11" t="str">
        <x:v>Pathway Lighting Conversion to LEDs and Controls. Aprox: 2 Poles</x:v>
      </x:c>
      <x:c r="F971" s="20" t="n">
        <x:v>7056</x:v>
      </x:c>
      <x:c r="G971" s="8" t="str">
        <x:v>Paths / access / bridges</x:v>
      </x:c>
      <x:c r="H971" s="8" t="str">
        <x:v>KGW November 2023 report; estimate dates not supplied</x:v>
      </x:c>
      <x:c r="I971" s="8" t="str">
        <x:v>https://flo.uri.sh/visualisation/15494950/embed</x:v>
      </x:c>
    </x:row>
    <x:row r="972" ht="46" customHeight="1">
      <x:c r="A972" s="7" t="n">
        <x:v>968</x:v>
      </x:c>
      <x:c r="B972" s="12" t="str">
        <x:v>Sewallcrest Park</x:v>
      </x:c>
      <x:c r="C972" s="12" t="str">
        <x:v>Renovate and improve; paths, lighting, ADA curb cu</x:v>
      </x:c>
      <x:c r="D972" s="12" t="str">
        <x:v>Sewallcrest Park</x:v>
      </x:c>
      <x:c r="E972" s="12" t="str">
        <x:v>Needs ADA curb cut north part of the park. Replace path that runs through center of park with 470 feet long 9' wide asphalt park path.  Project will eliminate trip hazards.  Provide eight park lights on time clock to light area and path.  Provide path to community garden from path and sidewalk.</x:v>
      </x:c>
      <x:c r="F972" s="21" t="n">
        <x:v>318856</x:v>
      </x:c>
      <x:c r="G972" s="7" t="str">
        <x:v>Paths / access / bridges</x:v>
      </x:c>
      <x:c r="H972" s="7" t="str">
        <x:v>KGW November 2023 report; estimate dates not supplied</x:v>
      </x:c>
      <x:c r="I972" s="7" t="str">
        <x:v>https://flo.uri.sh/visualisation/15494950/embed</x:v>
      </x:c>
    </x:row>
    <x:row r="973" ht="46" customHeight="1">
      <x:c r="A973" s="8" t="n">
        <x:v>969</x:v>
      </x:c>
      <x:c r="B973" s="11" t="str">
        <x:v>Sewallcrest Park</x:v>
      </x:c>
      <x:c r="C973" s="11" t="str">
        <x:v>Playground renovation</x:v>
      </x:c>
      <x:c r="D973" s="11" t="str">
        <x:v>Play Area A</x:v>
      </x:c>
      <x:c r="E973" s="11" t="str">
        <x:v>Renovation or repair playground that was rated as 4
 during playground assessment in 2020</x:v>
      </x:c>
      <x:c r="F973" s="20" t="n">
        <x:v>279211</x:v>
      </x:c>
      <x:c r="G973" s="8" t="str">
        <x:v>Fields / courts / play</x:v>
      </x:c>
      <x:c r="H973" s="8" t="str">
        <x:v>KGW November 2023 report; estimate dates not supplied</x:v>
      </x:c>
      <x:c r="I973" s="8" t="str">
        <x:v>https://flo.uri.sh/visualisation/15494950/embed</x:v>
      </x:c>
    </x:row>
    <x:row r="974" ht="46" customHeight="1">
      <x:c r="A974" s="7" t="n">
        <x:v>970</x:v>
      </x:c>
      <x:c r="B974" s="12" t="str">
        <x:v>Sewallcrest Park</x:v>
      </x:c>
      <x:c r="C974" s="12" t="str">
        <x:v>Pathway Renovation</x:v>
      </x:c>
      <x:c r="D974" s="12" t="str">
        <x:v>Sewallcrest Park</x:v>
      </x:c>
      <x:c r="E974" s="12" t="str">
        <x:v>Replace the damaged pathway, trails and sidewalks that have been rated as 4 and 5 in Pathway assessment</x:v>
      </x:c>
      <x:c r="F974" s="21" t="n">
        <x:v>240636</x:v>
      </x:c>
      <x:c r="G974" s="7" t="str">
        <x:v>Paths / access / bridges</x:v>
      </x:c>
      <x:c r="H974" s="7" t="str">
        <x:v>KGW November 2023 report; estimate dates not supplied</x:v>
      </x:c>
      <x:c r="I974" s="7" t="str">
        <x:v>https://flo.uri.sh/visualisation/15494950/embed</x:v>
      </x:c>
    </x:row>
    <x:row r="975" ht="46" customHeight="1">
      <x:c r="A975" s="8" t="n">
        <x:v>971</x:v>
      </x:c>
      <x:c r="B975" s="11" t="str">
        <x:v>Sewallcrest Park</x:v>
      </x:c>
      <x:c r="C975" s="11" t="str">
        <x:v>Play Area Safety and ADA</x:v>
      </x:c>
      <x:c r="D975" s="11" t="str">
        <x:v>Sewallcrest Park</x:v>
      </x:c>
      <x:c r="E975" s="11" t="str">
        <x:v>- In general this whole play structure should be replaced. Design on elevated platforms do not meet current playground safety standards. Existing wood decking is deteriorated and needs to be replaced. In addition to design issues and wood deterioration, the metal step on the west side is failing. Wildwood play equipment is no longer manufactured.  Structures have outlived their useful life and need to replace
- Free Standing Climbers -  Overhead ladder- both cross beams pipes are bent and one step bar is bent. This damage looks like it must have come from some type of heavy equipment. In addition to the bent pipes the paint is chipping and flaking off. This is an old piece of equipment and should be replaced</x:v>
      </x:c>
      <x:c r="F975" s="20" t="n">
        <x:v>176407</x:v>
      </x:c>
      <x:c r="G975" s="8" t="str">
        <x:v>Paths / access / bridges</x:v>
      </x:c>
      <x:c r="H975" s="8" t="str">
        <x:v>KGW November 2023 report; estimate dates not supplied</x:v>
      </x:c>
      <x:c r="I975" s="8" t="str">
        <x:v>https://flo.uri.sh/visualisation/15494950/embed</x:v>
      </x:c>
    </x:row>
    <x:row r="976" ht="46" customHeight="1">
      <x:c r="A976" s="7" t="n">
        <x:v>972</x:v>
      </x:c>
      <x:c r="B976" s="12" t="str">
        <x:v>Simon and Helen Director Park</x:v>
      </x:c>
      <x:c r="C976" s="12" t="str">
        <x:v>Director Electrical Capacity Upgrade</x:v>
      </x:c>
      <x:c r="D976" s="12" t="str">
        <x:v>Simon and Helen Director Park</x:v>
      </x:c>
      <x:c r="E976" s="12" t="str">
        <x:v>Upgrade power capacity at Directors Park</x:v>
      </x:c>
      <x:c r="F976" s="21" t="n">
        <x:v>94071</x:v>
      </x:c>
      <x:c r="G976" s="7" t="str">
        <x:v>Utilities / lighting / drainage</x:v>
      </x:c>
      <x:c r="H976" s="7" t="str">
        <x:v>KGW November 2023 report; estimate dates not supplied</x:v>
      </x:c>
      <x:c r="I976" s="7" t="str">
        <x:v>https://flo.uri.sh/visualisation/15494950/embed</x:v>
      </x:c>
    </x:row>
    <x:row r="977" ht="46" customHeight="1">
      <x:c r="A977" s="8" t="n">
        <x:v>973</x:v>
      </x:c>
      <x:c r="B977" s="11" t="str">
        <x:v>Simon and Helen Director Park</x:v>
      </x:c>
      <x:c r="C977" s="11" t="str">
        <x:v>Repair Storm water planter</x:v>
      </x:c>
      <x:c r="D977" s="11" t="str">
        <x:v>Simon and Helen Director Park</x:v>
      </x:c>
      <x:c r="E977" s="11" t="str">
        <x:v>The granite storm curbs collasped into the planter on the NE &amp; NW side of the block.</x:v>
      </x:c>
      <x:c r="F977" s="20" t="n">
        <x:v>59967</x:v>
      </x:c>
      <x:c r="G977" s="8" t="str">
        <x:v>Utilities / lighting / drainage</x:v>
      </x:c>
      <x:c r="H977" s="8" t="str">
        <x:v>KGW November 2023 report; estimate dates not supplied</x:v>
      </x:c>
      <x:c r="I977" s="8" t="str">
        <x:v>https://flo.uri.sh/visualisation/15494950/embed</x:v>
      </x:c>
    </x:row>
    <x:row r="978" ht="46" customHeight="1">
      <x:c r="A978" s="7" t="n">
        <x:v>974</x:v>
      </x:c>
      <x:c r="B978" s="12" t="str">
        <x:v>Simon and Helen Director Park</x:v>
      </x:c>
      <x:c r="C978" s="12" t="str">
        <x:v>ESPC-II_ Simon and Helen Director Park</x:v>
      </x:c>
      <x:c r="D978" s="12" t="str"/>
      <x:c r="E978" s="12" t="str">
        <x:v>Install a GE control node on each pathway light fixture.  Node for parks with &lt;50 fixtures will be model #ELWM18BXXXXAD.  Node for parks with &gt;50 fixtures will be model #ELWN08BXXXXAD.. FIM Name: 09.17-1335 Building Exterior Lighting Controls</x:v>
      </x:c>
      <x:c r="F978" s="21" t="n">
        <x:v>5859</x:v>
      </x:c>
      <x:c r="G978" s="7" t="str">
        <x:v>Buildings / building systems</x:v>
      </x:c>
      <x:c r="H978" s="7" t="str">
        <x:v>KGW November 2023 report; estimate dates not supplied</x:v>
      </x:c>
      <x:c r="I978" s="7" t="str">
        <x:v>https://flo.uri.sh/visualisation/15494950/embed</x:v>
      </x:c>
    </x:row>
    <x:row r="979" ht="46" customHeight="1">
      <x:c r="A979" s="8" t="n">
        <x:v>975</x:v>
      </x:c>
      <x:c r="B979" s="11" t="str">
        <x:v>Simon and Helen Director Park</x:v>
      </x:c>
      <x:c r="C979" s="11" t="str">
        <x:v>LED lighting Replacement</x:v>
      </x:c>
      <x:c r="D979" s="11" t="str">
        <x:v>Simon and Helen Director Park</x:v>
      </x:c>
      <x:c r="E979" s="11" t="str">
        <x:v>Upgrade lighting to LED</x:v>
      </x:c>
      <x:c r="F979" s="20" t="n">
        <x:v>441018</x:v>
      </x:c>
      <x:c r="G979" s="8" t="str">
        <x:v>Utilities / lighting / drainage</x:v>
      </x:c>
      <x:c r="H979" s="8" t="str">
        <x:v>KGW November 2023 report; estimate dates not supplied</x:v>
      </x:c>
      <x:c r="I979" s="8" t="str">
        <x:v>https://flo.uri.sh/visualisation/15494950/embed</x:v>
      </x:c>
    </x:row>
    <x:row r="980" ht="46" customHeight="1">
      <x:c r="A980" s="7" t="n">
        <x:v>976</x:v>
      </x:c>
      <x:c r="B980" s="12" t="str">
        <x:v>Simon and Helen Director Park</x:v>
      </x:c>
      <x:c r="C980" s="12" t="str">
        <x:v>ESPC-II_ Simon and Helen Director Park</x:v>
      </x:c>
      <x:c r="D980" s="12" t="str"/>
      <x:c r="E980" s="12" t="str">
        <x:v>Convert existing lighting to LED technology via a re-lamp approach.. FIM Name: 09.07-1335 Building Exterior Lighting LED Conversion</x:v>
      </x:c>
      <x:c r="F980" s="21" t="n">
        <x:v>14819</x:v>
      </x:c>
      <x:c r="G980" s="7" t="str">
        <x:v>Buildings / building systems</x:v>
      </x:c>
      <x:c r="H980" s="7" t="str">
        <x:v>KGW November 2023 report; estimate dates not supplied</x:v>
      </x:c>
      <x:c r="I980" s="7" t="str">
        <x:v>https://flo.uri.sh/visualisation/15494950/embed</x:v>
      </x:c>
    </x:row>
    <x:row r="981" ht="46" customHeight="1">
      <x:c r="A981" s="8" t="n">
        <x:v>977</x:v>
      </x:c>
      <x:c r="B981" s="11" t="str">
        <x:v>Smith Elementary School</x:v>
      </x:c>
      <x:c r="C981" s="11" t="str">
        <x:v>Smith ES - 1 Soccer Field, 2 Ball Fields   Renovat</x:v>
      </x:c>
      <x:c r="D981" s="11" t="str">
        <x:v>Smith Elementary School</x:v>
      </x:c>
      <x:c r="E981" s="11" t="str">
        <x:v>CONTRIBUTION toward improvements at selected schools such as installing irrigation, improved goals, backstops, bleachers, etc.</x:v>
      </x:c>
      <x:c r="F981" s="20" t="n">
        <x:v>154807</x:v>
      </x:c>
      <x:c r="G981" s="8" t="str">
        <x:v>Fields / courts / play</x:v>
      </x:c>
      <x:c r="H981" s="8" t="str">
        <x:v>KGW November 2023 report; estimate dates not supplied</x:v>
      </x:c>
      <x:c r="I981" s="8" t="str">
        <x:v>https://flo.uri.sh/visualisation/15494950/embed</x:v>
      </x:c>
    </x:row>
    <x:row r="982" ht="46" customHeight="1">
      <x:c r="A982" s="7" t="n">
        <x:v>978</x:v>
      </x:c>
      <x:c r="B982" s="12" t="str">
        <x:v>South Park Blocks</x:v>
      </x:c>
      <x:c r="C982" s="12" t="str">
        <x:v>Refurbish light poles and pave paths</x:v>
      </x:c>
      <x:c r="D982" s="12" t="str">
        <x:v>South Park Blocks</x:v>
      </x:c>
      <x:c r="E982" s="12" t="str">
        <x:v>Refurbish light poles and pave paths</x:v>
      </x:c>
      <x:c r="F982" s="21" t="n">
        <x:v>580528</x:v>
      </x:c>
      <x:c r="G982" s="7" t="str">
        <x:v>Paths / access / bridges</x:v>
      </x:c>
      <x:c r="H982" s="7" t="str">
        <x:v>KGW November 2023 report; estimate dates not supplied</x:v>
      </x:c>
      <x:c r="I982" s="7" t="str">
        <x:v>https://flo.uri.sh/visualisation/15494950/embed</x:v>
      </x:c>
    </x:row>
    <x:row r="983" ht="46" customHeight="1">
      <x:c r="A983" s="8" t="n">
        <x:v>979</x:v>
      </x:c>
      <x:c r="B983" s="11" t="str">
        <x:v>South Park Blocks</x:v>
      </x:c>
      <x:c r="C983" s="11" t="str">
        <x:v>Construct New Fence</x:v>
      </x:c>
      <x:c r="D983" s="11" t="str">
        <x:v>South Park Blocks</x:v>
      </x:c>
      <x:c r="E983" s="11" t="str">
        <x:v>Install new permanent fence to prevent foot traffic over plantings</x:v>
      </x:c>
      <x:c r="F983" s="20" t="n">
        <x:v>12833</x:v>
      </x:c>
      <x:c r="G983" s="8" t="str">
        <x:v>Other site infrastructure</x:v>
      </x:c>
      <x:c r="H983" s="8" t="str">
        <x:v>KGW November 2023 report; estimate dates not supplied</x:v>
      </x:c>
      <x:c r="I983" s="8" t="str">
        <x:v>https://flo.uri.sh/visualisation/15494950/embed</x:v>
      </x:c>
    </x:row>
    <x:row r="984" ht="46" customHeight="1">
      <x:c r="A984" s="7" t="n">
        <x:v>980</x:v>
      </x:c>
      <x:c r="B984" s="12" t="str">
        <x:v>South Park Blocks</x:v>
      </x:c>
      <x:c r="C984" s="12" t="str">
        <x:v>ESPC-III_Buildings Lighting to LEDs</x:v>
      </x:c>
      <x:c r="D984" s="12" t="str">
        <x:v>Restroom - Loo</x:v>
      </x:c>
      <x:c r="E984" s="12" t="str">
        <x:v>LED conversion for Exterior and Interior Lights</x:v>
      </x:c>
      <x:c r="F984" s="21" t="n">
        <x:v>11760</x:v>
      </x:c>
      <x:c r="G984" s="7" t="str">
        <x:v>Buildings / building systems</x:v>
      </x:c>
      <x:c r="H984" s="7" t="str">
        <x:v>KGW November 2023 report; estimate dates not supplied</x:v>
      </x:c>
      <x:c r="I984" s="7" t="str">
        <x:v>https://flo.uri.sh/visualisation/15494950/embed</x:v>
      </x:c>
    </x:row>
    <x:row r="985" ht="46" customHeight="1">
      <x:c r="A985" s="8" t="n">
        <x:v>981</x:v>
      </x:c>
      <x:c r="B985" s="11" t="str">
        <x:v>South Park Blocks</x:v>
      </x:c>
      <x:c r="C985" s="11" t="str">
        <x:v>Pathway Renovation</x:v>
      </x:c>
      <x:c r="D985" s="11" t="str">
        <x:v>South Park Blocks</x:v>
      </x:c>
      <x:c r="E985" s="11" t="str">
        <x:v>Replace the damaged pathway, trails and sidewalks that have been rated as 4 and 5 in Pathway assessment</x:v>
      </x:c>
      <x:c r="F985" s="20" t="n">
        <x:v>1551282</x:v>
      </x:c>
      <x:c r="G985" s="8" t="str">
        <x:v>Paths / access / bridges</x:v>
      </x:c>
      <x:c r="H985" s="8" t="str">
        <x:v>KGW November 2023 report; estimate dates not supplied</x:v>
      </x:c>
      <x:c r="I985" s="8" t="str">
        <x:v>https://flo.uri.sh/visualisation/15494950/embed</x:v>
      </x:c>
    </x:row>
    <x:row r="986" ht="46" customHeight="1">
      <x:c r="A986" s="7" t="n">
        <x:v>982</x:v>
      </x:c>
      <x:c r="B986" s="12" t="str">
        <x:v>South Waterfront Park</x:v>
      </x:c>
      <x:c r="C986" s="12" t="str">
        <x:v>Fix damaged area in the esplanade</x:v>
      </x:c>
      <x:c r="D986" s="12" t="str">
        <x:v>South Waterfront Park</x:v>
      </x:c>
      <x:c r="E986" s="12" t="str">
        <x:v>In several areas of the esplanade the cement has risen and/or sunk so that there are tripping hazards.  These have been marked with orange marking paint but they need to be ground down to fix the problem.  Some of these off sets are as much as 2 1/2".</x:v>
      </x:c>
      <x:c r="F986" s="21" t="n">
        <x:v>35281</x:v>
      </x:c>
      <x:c r="G986" s="7" t="str">
        <x:v>Utilities / lighting / drainage</x:v>
      </x:c>
      <x:c r="H986" s="7" t="str">
        <x:v>KGW November 2023 report; estimate dates not supplied</x:v>
      </x:c>
      <x:c r="I986" s="7" t="str">
        <x:v>https://flo.uri.sh/visualisation/15494950/embed</x:v>
      </x:c>
    </x:row>
    <x:row r="987" ht="46" customHeight="1">
      <x:c r="A987" s="8" t="n">
        <x:v>983</x:v>
      </x:c>
      <x:c r="B987" s="11" t="str">
        <x:v>South Waterfront Park</x:v>
      </x:c>
      <x:c r="C987" s="11" t="str">
        <x:v>Replace Backflow preventer device</x:v>
      </x:c>
      <x:c r="D987" s="11" t="str">
        <x:v>Property</x:v>
      </x:c>
      <x:c r="E987" s="11" t="str">
        <x:v>- Replace out of compliance backflow preventer
- Assembly: Double Check Valve Assembly (DCVA)
- Premises Isolation (PI): 3" Reduced Pressure (RP) + Enclosure. Serial # 8600B
- Move to property line, if needed
- Hazard: Flood plain</x:v>
      </x:c>
      <x:c r="F987" s="20" t="n">
        <x:v>12000</x:v>
      </x:c>
      <x:c r="G987" s="8" t="str">
        <x:v>Utilities / lighting / drainage</x:v>
      </x:c>
      <x:c r="H987" s="8" t="str">
        <x:v>KGW November 2023 report; estimate dates not supplied</x:v>
      </x:c>
      <x:c r="I987" s="8" t="str">
        <x:v>https://flo.uri.sh/visualisation/15494950/embed</x:v>
      </x:c>
    </x:row>
    <x:row r="988" ht="46" customHeight="1">
      <x:c r="A988" s="7" t="n">
        <x:v>984</x:v>
      </x:c>
      <x:c r="B988" s="12" t="str">
        <x:v>South Waterfront Park</x:v>
      </x:c>
      <x:c r="C988" s="12" t="str">
        <x:v>Repair sidewalk</x:v>
      </x:c>
      <x:c r="D988" s="12" t="str">
        <x:v>South Waterfront Park</x:v>
      </x:c>
      <x:c r="E988" s="12" t="str">
        <x:v>sidewalk is heaving up from a tree. As much as a one inch difference.  Public is tripping on it.  Right in front of the door to the coffee kiosk.</x:v>
      </x:c>
      <x:c r="F988" s="21" t="n">
        <x:v>11993</x:v>
      </x:c>
      <x:c r="G988" s="7" t="str">
        <x:v>Paths / access / bridges</x:v>
      </x:c>
      <x:c r="H988" s="7" t="str">
        <x:v>KGW November 2023 report; estimate dates not supplied</x:v>
      </x:c>
      <x:c r="I988" s="7" t="str">
        <x:v>https://flo.uri.sh/visualisation/15494950/embed</x:v>
      </x:c>
    </x:row>
    <x:row r="989" ht="46" customHeight="1">
      <x:c r="A989" s="8" t="n">
        <x:v>985</x:v>
      </x:c>
      <x:c r="B989" s="11" t="str">
        <x:v>South Waterfront Park</x:v>
      </x:c>
      <x:c r="C989" s="11" t="str">
        <x:v>ESPC-III_Buildings Lighting to LEDs</x:v>
      </x:c>
      <x:c r="D989" s="11" t="str">
        <x:v>Visitor Services</x:v>
      </x:c>
      <x:c r="E989" s="11" t="str">
        <x:v>LED conversion for Exterior and Interior Lights</x:v>
      </x:c>
      <x:c r="F989" s="20" t="n">
        <x:v>11760</x:v>
      </x:c>
      <x:c r="G989" s="8" t="str">
        <x:v>Buildings / building systems</x:v>
      </x:c>
      <x:c r="H989" s="8" t="str">
        <x:v>KGW November 2023 report; estimate dates not supplied</x:v>
      </x:c>
      <x:c r="I989" s="8" t="str">
        <x:v>https://flo.uri.sh/visualisation/15494950/embed</x:v>
      </x:c>
    </x:row>
    <x:row r="990" ht="46" customHeight="1">
      <x:c r="A990" s="7" t="n">
        <x:v>986</x:v>
      </x:c>
      <x:c r="B990" s="12" t="str">
        <x:v>South Waterfront Park</x:v>
      </x:c>
      <x:c r="C990" s="12" t="str">
        <x:v>ESPC-III_Buildings Lighting to LEDs</x:v>
      </x:c>
      <x:c r="D990" s="12" t="str">
        <x:v>Restroom</x:v>
      </x:c>
      <x:c r="E990" s="12" t="str">
        <x:v>LED conversion for Exterior and Interior Lights</x:v>
      </x:c>
      <x:c r="F990" s="21" t="n">
        <x:v>11760</x:v>
      </x:c>
      <x:c r="G990" s="7" t="str">
        <x:v>Buildings / building systems</x:v>
      </x:c>
      <x:c r="H990" s="7" t="str">
        <x:v>KGW November 2023 report; estimate dates not supplied</x:v>
      </x:c>
      <x:c r="I990" s="7" t="str">
        <x:v>https://flo.uri.sh/visualisation/15494950/embed</x:v>
      </x:c>
    </x:row>
    <x:row r="991" ht="46" customHeight="1">
      <x:c r="A991" s="8" t="n">
        <x:v>987</x:v>
      </x:c>
      <x:c r="B991" s="11" t="str">
        <x:v>South Waterfront Park</x:v>
      </x:c>
      <x:c r="C991" s="11" t="str">
        <x:v>Pathway Renovation</x:v>
      </x:c>
      <x:c r="D991" s="11" t="str">
        <x:v>South Waterfront Park</x:v>
      </x:c>
      <x:c r="E991" s="11" t="str">
        <x:v>Replace the damaged pathway, trails and sidewalks that have been rated as 4 and 5 in Pathway assessment</x:v>
      </x:c>
      <x:c r="F991" s="20" t="n">
        <x:v>1061125</x:v>
      </x:c>
      <x:c r="G991" s="8" t="str">
        <x:v>Paths / access / bridges</x:v>
      </x:c>
      <x:c r="H991" s="8" t="str">
        <x:v>KGW November 2023 report; estimate dates not supplied</x:v>
      </x:c>
      <x:c r="I991" s="8" t="str">
        <x:v>https://flo.uri.sh/visualisation/15494950/embed</x:v>
      </x:c>
    </x:row>
    <x:row r="992" ht="46" customHeight="1">
      <x:c r="A992" s="7" t="n">
        <x:v>988</x:v>
      </x:c>
      <x:c r="B992" s="12" t="str">
        <x:v>Spring Garden Park</x:v>
      </x:c>
      <x:c r="C992" s="12" t="str">
        <x:v>Repair retaining wall</x:v>
      </x:c>
      <x:c r="D992" s="12" t="str">
        <x:v>Retaining wall</x:v>
      </x:c>
      <x:c r="E992" s="12" t="str">
        <x:v>Problem: Due to design issue- no expansion joints- vertical cracks on the wall is occurring.
Solution: seal the cracks to prevent water from reaching the rebars and cause corrosion 
check attached email for mor detail</x:v>
      </x:c>
      <x:c r="F992" s="21" t="n">
        <x:v>32804</x:v>
      </x:c>
      <x:c r="G992" s="7" t="str">
        <x:v>Utilities / lighting / drainage</x:v>
      </x:c>
      <x:c r="H992" s="7" t="str">
        <x:v>KGW November 2023 report; estimate dates not supplied</x:v>
      </x:c>
      <x:c r="I992" s="7" t="str">
        <x:v>https://flo.uri.sh/visualisation/15494950/embed</x:v>
      </x:c>
    </x:row>
    <x:row r="993" ht="46" customHeight="1">
      <x:c r="A993" s="8" t="n">
        <x:v>989</x:v>
      </x:c>
      <x:c r="B993" s="11" t="str">
        <x:v>Spring Garden Park</x:v>
      </x:c>
      <x:c r="C993" s="11" t="str">
        <x:v>ESPC-III_Buildings Lighting to LEDs</x:v>
      </x:c>
      <x:c r="D993" s="11" t="str">
        <x:v>Restroom - Loo</x:v>
      </x:c>
      <x:c r="E993" s="11" t="str">
        <x:v>LED conversion for Exterior and Interior Lights</x:v>
      </x:c>
      <x:c r="F993" s="20" t="n">
        <x:v>11760</x:v>
      </x:c>
      <x:c r="G993" s="8" t="str">
        <x:v>Buildings / building systems</x:v>
      </x:c>
      <x:c r="H993" s="8" t="str">
        <x:v>KGW November 2023 report; estimate dates not supplied</x:v>
      </x:c>
      <x:c r="I993" s="8" t="str">
        <x:v>https://flo.uri.sh/visualisation/15494950/embed</x:v>
      </x:c>
    </x:row>
    <x:row r="994" ht="46" customHeight="1">
      <x:c r="A994" s="7" t="n">
        <x:v>990</x:v>
      </x:c>
      <x:c r="B994" s="12" t="str">
        <x:v>Springwater Corridor</x:v>
      </x:c>
      <x:c r="C994" s="12" t="str">
        <x:v>Trail Repairs and Improvements</x:v>
      </x:c>
      <x:c r="D994" s="12" t="str">
        <x:v>Springwater Corridor</x:v>
      </x:c>
      <x:c r="E994" s="12" t="str">
        <x:v>Springwater Trail Jenne Rd. Bridge Approach (repair bridge approach). Jan 2018 Investigation revealed undermining and cracking of approaches</x:v>
      </x:c>
      <x:c r="F994" s="21" t="n">
        <x:v>89950</x:v>
      </x:c>
      <x:c r="G994" s="7" t="str">
        <x:v>Paths / access / bridges</x:v>
      </x:c>
      <x:c r="H994" s="7" t="str">
        <x:v>KGW November 2023 report; estimate dates not supplied</x:v>
      </x:c>
      <x:c r="I994" s="7" t="str">
        <x:v>https://flo.uri.sh/visualisation/15494950/embed</x:v>
      </x:c>
    </x:row>
    <x:row r="995" ht="46" customHeight="1">
      <x:c r="A995" s="8" t="n">
        <x:v>991</x:v>
      </x:c>
      <x:c r="B995" s="11" t="str">
        <x:v>Springwater Corridor</x:v>
      </x:c>
      <x:c r="C995" s="11" t="str">
        <x:v>Springwater / Johnson Cr. Bank Repair at Circle Av</x:v>
      </x:c>
      <x:c r="D995" s="11" t="str">
        <x:v>Springwater Corridor</x:v>
      </x:c>
      <x:c r="E995" s="11" t="str">
        <x:v>Bank is eroding upstream of the Circle Ave bridge.  Bridge was repaired in 2010, erosion is threatening the bridge.  Project needs scoping/feasibility study, but will likely include streambank restoration.</x:v>
      </x:c>
      <x:c r="F995" s="20" t="n">
        <x:v>694826</x:v>
      </x:c>
      <x:c r="G995" s="8" t="str">
        <x:v>Paths / access / bridges</x:v>
      </x:c>
      <x:c r="H995" s="8" t="str">
        <x:v>KGW November 2023 report; estimate dates not supplied</x:v>
      </x:c>
      <x:c r="I995" s="8" t="str">
        <x:v>https://flo.uri.sh/visualisation/15494950/embed</x:v>
      </x:c>
    </x:row>
    <x:row r="996" ht="46" customHeight="1">
      <x:c r="A996" s="7" t="n">
        <x:v>992</x:v>
      </x:c>
      <x:c r="B996" s="12" t="str">
        <x:v>Springwater Corridor</x:v>
      </x:c>
      <x:c r="C996" s="12" t="str">
        <x:v>Bridge replacement needed at MP 19+00</x:v>
      </x:c>
      <x:c r="D996" s="12" t="str">
        <x:v>Springwater Corridor</x:v>
      </x:c>
      <x:c r="E996" s="12" t="str">
        <x:v>Evaluate and replace bridge at MP 19+00</x:v>
      </x:c>
      <x:c r="F996" s="21" t="n">
        <x:v>59967</x:v>
      </x:c>
      <x:c r="G996" s="7" t="str">
        <x:v>Paths / access / bridges</x:v>
      </x:c>
      <x:c r="H996" s="7" t="str">
        <x:v>KGW November 2023 report; estimate dates not supplied</x:v>
      </x:c>
      <x:c r="I996" s="7" t="str">
        <x:v>https://flo.uri.sh/visualisation/15494950/embed</x:v>
      </x:c>
    </x:row>
    <x:row r="997" ht="46" customHeight="1">
      <x:c r="A997" s="8" t="n">
        <x:v>993</x:v>
      </x:c>
      <x:c r="B997" s="11" t="str">
        <x:v>Springwater Corridor</x:v>
      </x:c>
      <x:c r="C997" s="11" t="str">
        <x:v>Repair pedestrian bridge</x:v>
      </x:c>
      <x:c r="D997" s="11" t="str">
        <x:v>Pedestrian bridge</x:v>
      </x:c>
      <x:c r="E997" s="11" t="str">
        <x:v>Renovate Complex and Major bridges that was rated as 4-5 in bridge condition assessment 2021</x:v>
      </x:c>
      <x:c r="F997" s="20" t="n">
        <x:v>5206639</x:v>
      </x:c>
      <x:c r="G997" s="8" t="str">
        <x:v>Paths / access / bridges</x:v>
      </x:c>
      <x:c r="H997" s="8" t="str">
        <x:v>KGW November 2023 report; estimate dates not supplied</x:v>
      </x:c>
      <x:c r="I997" s="8" t="str">
        <x:v>https://flo.uri.sh/visualisation/15494950/embed</x:v>
      </x:c>
    </x:row>
    <x:row r="998" ht="46" customHeight="1">
      <x:c r="A998" s="7" t="n">
        <x:v>994</x:v>
      </x:c>
      <x:c r="B998" s="12" t="str">
        <x:v>Springwater Corridor</x:v>
      </x:c>
      <x:c r="C998" s="12" t="str">
        <x:v>Repair pedestrian bridge</x:v>
      </x:c>
      <x:c r="D998" s="12" t="str">
        <x:v>Pedestrian bridge</x:v>
      </x:c>
      <x:c r="E998" s="12" t="str">
        <x:v>Renovate Complex and Major bridges that was rated as 4-5 in bridge condition assessment 2021</x:v>
      </x:c>
      <x:c r="F998" s="21" t="n">
        <x:v>4920588</x:v>
      </x:c>
      <x:c r="G998" s="7" t="str">
        <x:v>Paths / access / bridges</x:v>
      </x:c>
      <x:c r="H998" s="7" t="str">
        <x:v>KGW November 2023 report; estimate dates not supplied</x:v>
      </x:c>
      <x:c r="I998" s="7" t="str">
        <x:v>https://flo.uri.sh/visualisation/15494950/embed</x:v>
      </x:c>
    </x:row>
    <x:row r="999" ht="46" customHeight="1">
      <x:c r="A999" s="8" t="n">
        <x:v>995</x:v>
      </x:c>
      <x:c r="B999" s="11" t="str">
        <x:v>Springwater Corridor</x:v>
      </x:c>
      <x:c r="C999" s="11" t="str">
        <x:v>Repair pedestrian bridge</x:v>
      </x:c>
      <x:c r="D999" s="11" t="str">
        <x:v>Pedestrian bridge</x:v>
      </x:c>
      <x:c r="E999" s="11" t="str">
        <x:v>Renovate Complex and Major bridges that was rated as 4-5 in bridge condition assessment 2021</x:v>
      </x:c>
      <x:c r="F999" s="20" t="n">
        <x:v>4566306</x:v>
      </x:c>
      <x:c r="G999" s="8" t="str">
        <x:v>Paths / access / bridges</x:v>
      </x:c>
      <x:c r="H999" s="8" t="str">
        <x:v>KGW November 2023 report; estimate dates not supplied</x:v>
      </x:c>
      <x:c r="I999" s="8" t="str">
        <x:v>https://flo.uri.sh/visualisation/15494950/embed</x:v>
      </x:c>
    </x:row>
    <x:row r="1000" ht="46" customHeight="1">
      <x:c r="A1000" s="7" t="n">
        <x:v>996</x:v>
      </x:c>
      <x:c r="B1000" s="12" t="str">
        <x:v>Springwater Corridor</x:v>
      </x:c>
      <x:c r="C1000" s="12" t="str">
        <x:v>Trail Bridge (North Fork) Replacement</x:v>
      </x:c>
      <x:c r="D1000" s="12" t="str">
        <x:v>Springwater Corridor</x:v>
      </x:c>
      <x:c r="E1000" s="12" t="str">
        <x:v>replace old trail bridge with clear span</x:v>
      </x:c>
      <x:c r="F1000" s="21" t="n">
        <x:v>384997</x:v>
      </x:c>
      <x:c r="G1000" s="7" t="str">
        <x:v>Paths / access / bridges</x:v>
      </x:c>
      <x:c r="H1000" s="7" t="str">
        <x:v>KGW November 2023 report; estimate dates not supplied</x:v>
      </x:c>
      <x:c r="I1000" s="7" t="str">
        <x:v>https://flo.uri.sh/visualisation/15494950/embed</x:v>
      </x:c>
    </x:row>
    <x:row r="1001" ht="46" customHeight="1">
      <x:c r="A1001" s="8" t="n">
        <x:v>997</x:v>
      </x:c>
      <x:c r="B1001" s="11" t="str">
        <x:v>Springwater Corridor</x:v>
      </x:c>
      <x:c r="C1001" s="11" t="str">
        <x:v>Trail Bridge (Johnson Creek) Replacement</x:v>
      </x:c>
      <x:c r="D1001" s="11" t="str">
        <x:v>Springwater Corridor</x:v>
      </x:c>
      <x:c r="E1001" s="11" t="str">
        <x:v>replace old 30 by 13 trestle bridge with clear-span</x:v>
      </x:c>
      <x:c r="F1001" s="20" t="n">
        <x:v>384997</x:v>
      </x:c>
      <x:c r="G1001" s="8" t="str">
        <x:v>Paths / access / bridges</x:v>
      </x:c>
      <x:c r="H1001" s="8" t="str">
        <x:v>KGW November 2023 report; estimate dates not supplied</x:v>
      </x:c>
      <x:c r="I1001" s="8" t="str">
        <x:v>https://flo.uri.sh/visualisation/15494950/embed</x:v>
      </x:c>
    </x:row>
    <x:row r="1002" ht="46" customHeight="1">
      <x:c r="A1002" s="7" t="n">
        <x:v>998</x:v>
      </x:c>
      <x:c r="B1002" s="12" t="str">
        <x:v>Springwater Corridor</x:v>
      </x:c>
      <x:c r="C1002" s="12" t="str">
        <x:v>Repair pedestrian bridge</x:v>
      </x:c>
      <x:c r="D1002" s="12" t="str">
        <x:v>Pedestrian bridge</x:v>
      </x:c>
      <x:c r="E1002" s="12" t="str">
        <x:v>Renovate Complex and Major bridges that was rated as 4-5 in bridge condition assessment 2021</x:v>
      </x:c>
      <x:c r="F1002" s="21" t="n">
        <x:v>38271</x:v>
      </x:c>
      <x:c r="G1002" s="7" t="str">
        <x:v>Paths / access / bridges</x:v>
      </x:c>
      <x:c r="H1002" s="7" t="str">
        <x:v>KGW November 2023 report; estimate dates not supplied</x:v>
      </x:c>
      <x:c r="I1002" s="7" t="str">
        <x:v>https://flo.uri.sh/visualisation/15494950/embed</x:v>
      </x:c>
    </x:row>
    <x:row r="1003" ht="46" customHeight="1">
      <x:c r="A1003" s="8" t="n">
        <x:v>999</x:v>
      </x:c>
      <x:c r="B1003" s="11" t="str">
        <x:v>Springwater Corridor</x:v>
      </x:c>
      <x:c r="C1003" s="11" t="str">
        <x:v>Renovate the Roof of Restroom building</x:v>
      </x:c>
      <x:c r="D1003" s="11" t="str">
        <x:v>Restroom A</x:v>
      </x:c>
      <x:c r="E1003" s="11" t="str">
        <x:v>Fix or replace the Roof that is rated 4 through buildings' assessment</x:v>
      </x:c>
      <x:c r="F1003" s="20" t="n">
        <x:v>127897</x:v>
      </x:c>
      <x:c r="G1003" s="8" t="str">
        <x:v>Buildings / building systems</x:v>
      </x:c>
      <x:c r="H1003" s="8" t="str">
        <x:v>KGW November 2023 report; estimate dates not supplied</x:v>
      </x:c>
      <x:c r="I1003" s="8" t="str">
        <x:v>https://flo.uri.sh/visualisation/15494950/embed</x:v>
      </x:c>
    </x:row>
    <x:row r="1004" ht="46" customHeight="1">
      <x:c r="A1004" s="7" t="n">
        <x:v>1000</x:v>
      </x:c>
      <x:c r="B1004" s="12" t="str">
        <x:v>Springwater Corridor</x:v>
      </x:c>
      <x:c r="C1004" s="12" t="str">
        <x:v>Repair pedestrian bridge</x:v>
      </x:c>
      <x:c r="D1004" s="12" t="str">
        <x:v>Pedestrian bridge</x:v>
      </x:c>
      <x:c r="E1004" s="12" t="str">
        <x:v>Renovate Complex and Major bridges that was rated as 4-5 in bridge condition assessment 2021</x:v>
      </x:c>
      <x:c r="F1004" s="21" t="n">
        <x:v>115907</x:v>
      </x:c>
      <x:c r="G1004" s="7" t="str">
        <x:v>Paths / access / bridges</x:v>
      </x:c>
      <x:c r="H1004" s="7" t="str">
        <x:v>KGW November 2023 report; estimate dates not supplied</x:v>
      </x:c>
      <x:c r="I1004" s="7" t="str">
        <x:v>https://flo.uri.sh/visualisation/15494950/embed</x:v>
      </x:c>
    </x:row>
    <x:row r="1005" ht="46" customHeight="1">
      <x:c r="A1005" s="8" t="n">
        <x:v>1001</x:v>
      </x:c>
      <x:c r="B1005" s="11" t="str">
        <x:v>Springwater Corridor</x:v>
      </x:c>
      <x:c r="C1005" s="11" t="str">
        <x:v>Pathway Renovation</x:v>
      </x:c>
      <x:c r="D1005" s="11" t="str">
        <x:v>Springwater Corridor</x:v>
      </x:c>
      <x:c r="E1005" s="11" t="str">
        <x:v>Replace the damaged pathway, trails and sidewalks that have been rated as 4 and 5 in Pathway assessment</x:v>
      </x:c>
      <x:c r="F1005" s="20" t="n">
        <x:v>1632236</x:v>
      </x:c>
      <x:c r="G1005" s="8" t="str">
        <x:v>Paths / access / bridges</x:v>
      </x:c>
      <x:c r="H1005" s="8" t="str">
        <x:v>KGW November 2023 report; estimate dates not supplied</x:v>
      </x:c>
      <x:c r="I1005" s="8" t="str">
        <x:v>https://flo.uri.sh/visualisation/15494950/embed</x:v>
      </x:c>
    </x:row>
    <x:row r="1006" ht="46" customHeight="1">
      <x:c r="A1006" s="7" t="n">
        <x:v>1002</x:v>
      </x:c>
      <x:c r="B1006" s="12" t="str">
        <x:v>St Johns Park</x:v>
      </x:c>
      <x:c r="C1006" s="12" t="str">
        <x:v>Foundation failure in NW corner of building</x:v>
      </x:c>
      <x:c r="D1006" s="12" t="str">
        <x:v>St Johns Community Center</x:v>
      </x:c>
      <x:c r="E1006" s="12" t="str">
        <x:v>Need structural engineer further inspection and perform foundation bracing if needed</x:v>
      </x:c>
      <x:c r="F1006" s="21" t="n">
        <x:v>92673</x:v>
      </x:c>
      <x:c r="G1006" s="7" t="str">
        <x:v>Buildings / building systems</x:v>
      </x:c>
      <x:c r="H1006" s="7" t="str">
        <x:v>KGW November 2023 report; estimate dates not supplied</x:v>
      </x:c>
      <x:c r="I1006" s="7" t="str">
        <x:v>https://flo.uri.sh/visualisation/15494950/embed</x:v>
      </x:c>
    </x:row>
    <x:row r="1007" ht="46" customHeight="1">
      <x:c r="A1007" s="8" t="n">
        <x:v>1003</x:v>
      </x:c>
      <x:c r="B1007" s="11" t="str">
        <x:v>St Johns Park</x:v>
      </x:c>
      <x:c r="C1007" s="11" t="str">
        <x:v>Pathway Renovation</x:v>
      </x:c>
      <x:c r="D1007" s="11" t="str">
        <x:v>Internal Pathway/ Sidewalk</x:v>
      </x:c>
      <x:c r="E1007" s="11" t="str">
        <x:v>Replace the damaged pathway, trails and sidewalks that have been rated as 4 and 5 in Pathway assessment</x:v>
      </x:c>
      <x:c r="F1007" s="20" t="n">
        <x:v>38345</x:v>
      </x:c>
      <x:c r="G1007" s="8" t="str">
        <x:v>Paths / access / bridges</x:v>
      </x:c>
      <x:c r="H1007" s="8" t="str">
        <x:v>KGW November 2023 report; estimate dates not supplied</x:v>
      </x:c>
      <x:c r="I1007" s="8" t="str">
        <x:v>https://flo.uri.sh/visualisation/15494950/embed</x:v>
      </x:c>
    </x:row>
    <x:row r="1008" ht="46" customHeight="1">
      <x:c r="A1008" s="7" t="n">
        <x:v>1004</x:v>
      </x:c>
      <x:c r="B1008" s="12" t="str">
        <x:v>St Johns Park</x:v>
      </x:c>
      <x:c r="C1008" s="12" t="str">
        <x:v>Replace old HVAC system</x:v>
      </x:c>
      <x:c r="D1008" s="12" t="str">
        <x:v>St. Johns Community Center</x:v>
      </x:c>
      <x:c r="E1008" s="12" t="str">
        <x:v>Placeholder: replace HVAC system that was installed before 2000</x:v>
      </x:c>
      <x:c r="F1008" s="21" t="n">
        <x:v>3060005</x:v>
      </x:c>
      <x:c r="G1008" s="7" t="str">
        <x:v>Buildings / building systems</x:v>
      </x:c>
      <x:c r="H1008" s="7" t="str">
        <x:v>KGW November 2023 report; estimate dates not supplied</x:v>
      </x:c>
      <x:c r="I1008" s="7" t="str">
        <x:v>https://flo.uri.sh/visualisation/15494950/embed</x:v>
      </x:c>
    </x:row>
    <x:row r="1009" ht="46" customHeight="1">
      <x:c r="A1009" s="8" t="n">
        <x:v>1005</x:v>
      </x:c>
      <x:c r="B1009" s="11" t="str">
        <x:v>St Johns Park</x:v>
      </x:c>
      <x:c r="C1009" s="11" t="str">
        <x:v>Playground renovation</x:v>
      </x:c>
      <x:c r="D1009" s="11" t="str">
        <x:v>Play Area A</x:v>
      </x:c>
      <x:c r="E1009" s="11" t="str">
        <x:v>Renovation or repair playground that was rated as 4
 during playground assessment in 2020</x:v>
      </x:c>
      <x:c r="F1009" s="20" t="n">
        <x:v>126501</x:v>
      </x:c>
      <x:c r="G1009" s="8" t="str">
        <x:v>Fields / courts / play</x:v>
      </x:c>
      <x:c r="H1009" s="8" t="str">
        <x:v>KGW November 2023 report; estimate dates not supplied</x:v>
      </x:c>
      <x:c r="I1009" s="8" t="str">
        <x:v>https://flo.uri.sh/visualisation/15494950/embed</x:v>
      </x:c>
    </x:row>
    <x:row r="1010" ht="46" customHeight="1">
      <x:c r="A1010" s="7" t="n">
        <x:v>1006</x:v>
      </x:c>
      <x:c r="B1010" s="12" t="str">
        <x:v>St Johns Park</x:v>
      </x:c>
      <x:c r="C1010" s="12" t="str">
        <x:v>ESPC-III_Buildings Lighting to LEDs</x:v>
      </x:c>
      <x:c r="D1010" s="12" t="str">
        <x:v>Community Center</x:v>
      </x:c>
      <x:c r="E1010" s="12" t="str">
        <x:v>LED conversion for Exterior and Interior Lights</x:v>
      </x:c>
      <x:c r="F1010" s="21" t="n">
        <x:v>11760</x:v>
      </x:c>
      <x:c r="G1010" s="7" t="str">
        <x:v>Buildings / building systems</x:v>
      </x:c>
      <x:c r="H1010" s="7" t="str">
        <x:v>KGW November 2023 report; estimate dates not supplied</x:v>
      </x:c>
      <x:c r="I1010" s="7" t="str">
        <x:v>https://flo.uri.sh/visualisation/15494950/embed</x:v>
      </x:c>
    </x:row>
    <x:row r="1011" ht="46" customHeight="1">
      <x:c r="A1011" s="8" t="n">
        <x:v>1007</x:v>
      </x:c>
      <x:c r="B1011" s="11" t="str">
        <x:v>St Johns Racquet Center</x:v>
      </x:c>
      <x:c r="C1011" s="11" t="str">
        <x:v>Repair or Replace St Johns Tennis Center Roof</x:v>
      </x:c>
      <x:c r="D1011" s="11" t="str">
        <x:v>St Johns Racquet Center</x:v>
      </x:c>
      <x:c r="E1011" s="11" t="str">
        <x:v>-There is rain water seepage through some spots in the roof, especially through the skylight
- The entire roof needs to evaluate for economic wise solution</x:v>
      </x:c>
      <x:c r="F1011" s="20" t="n">
        <x:v>58802</x:v>
      </x:c>
      <x:c r="G1011" s="8" t="str">
        <x:v>Buildings / building systems</x:v>
      </x:c>
      <x:c r="H1011" s="8" t="str">
        <x:v>KGW November 2023 report; estimate dates not supplied</x:v>
      </x:c>
      <x:c r="I1011" s="8" t="str">
        <x:v>https://flo.uri.sh/visualisation/15494950/embed</x:v>
      </x:c>
    </x:row>
    <x:row r="1012" ht="46" customHeight="1">
      <x:c r="A1012" s="7" t="n">
        <x:v>1008</x:v>
      </x:c>
      <x:c r="B1012" s="12" t="str">
        <x:v>St Johns Racquet Center</x:v>
      </x:c>
      <x:c r="C1012" s="12" t="str">
        <x:v>Replace old HVAC system</x:v>
      </x:c>
      <x:c r="D1012" s="12" t="str">
        <x:v>St. Johns Raquet Center</x:v>
      </x:c>
      <x:c r="E1012" s="12" t="str">
        <x:v>Placeholder: replace HVAC system that was installed before 2000</x:v>
      </x:c>
      <x:c r="F1012" s="21" t="n">
        <x:v>54213</x:v>
      </x:c>
      <x:c r="G1012" s="7" t="str">
        <x:v>Buildings / building systems</x:v>
      </x:c>
      <x:c r="H1012" s="7" t="str">
        <x:v>KGW November 2023 report; estimate dates not supplied</x:v>
      </x:c>
      <x:c r="I1012" s="7" t="str">
        <x:v>https://flo.uri.sh/visualisation/15494950/embed</x:v>
      </x:c>
    </x:row>
    <x:row r="1013" ht="46" customHeight="1">
      <x:c r="A1013" s="8" t="n">
        <x:v>1009</x:v>
      </x:c>
      <x:c r="B1013" s="11" t="str">
        <x:v>St Johns Racquet Center</x:v>
      </x:c>
      <x:c r="C1013" s="11" t="str">
        <x:v>Pathway Renovation</x:v>
      </x:c>
      <x:c r="D1013" s="11" t="str">
        <x:v>Internal Pathway/ Sidewalk</x:v>
      </x:c>
      <x:c r="E1013" s="11" t="str">
        <x:v>Replace the damaged pathway, trails and sidewalks that have been rated as 4 and 5 in Pathway assessment</x:v>
      </x:c>
      <x:c r="F1013" s="20" t="n">
        <x:v>23535</x:v>
      </x:c>
      <x:c r="G1013" s="8" t="str">
        <x:v>Paths / access / bridges</x:v>
      </x:c>
      <x:c r="H1013" s="8" t="str">
        <x:v>KGW November 2023 report; estimate dates not supplied</x:v>
      </x:c>
      <x:c r="I1013" s="8" t="str">
        <x:v>https://flo.uri.sh/visualisation/15494950/embed</x:v>
      </x:c>
    </x:row>
    <x:row r="1014" ht="46" customHeight="1">
      <x:c r="A1014" s="7" t="n">
        <x:v>1010</x:v>
      </x:c>
      <x:c r="B1014" s="12" t="str">
        <x:v>St Johns Racquet Center</x:v>
      </x:c>
      <x:c r="C1014" s="12" t="str">
        <x:v>Renovate parking lot_Parking Area B</x:v>
      </x:c>
      <x:c r="D1014" s="12" t="str">
        <x:v>Parking Area B</x:v>
      </x:c>
      <x:c r="E1014" s="12" t="str">
        <x:v>Repair parking lot that was rated 4 in condition assessment. Repair include surface, drainage and curb. approx area= 10105 sq.ft</x:v>
      </x:c>
      <x:c r="F1014" s="21" t="n">
        <x:v>165219</x:v>
      </x:c>
      <x:c r="G1014" s="7" t="str">
        <x:v>Utilities / lighting / drainage</x:v>
      </x:c>
      <x:c r="H1014" s="7" t="str">
        <x:v>KGW November 2023 report; estimate dates not supplied</x:v>
      </x:c>
      <x:c r="I1014" s="7" t="str">
        <x:v>https://flo.uri.sh/visualisation/15494950/embed</x:v>
      </x:c>
    </x:row>
    <x:row r="1015" ht="46" customHeight="1">
      <x:c r="A1015" s="8" t="n">
        <x:v>1011</x:v>
      </x:c>
      <x:c r="B1015" s="11" t="str">
        <x:v>St Johns Racquet Center</x:v>
      </x:c>
      <x:c r="C1015" s="11" t="str">
        <x:v>Repair damaged pathways</x:v>
      </x:c>
      <x:c r="D1015" s="11" t="str">
        <x:v>St Johns Racquet Center</x:v>
      </x:c>
      <x:c r="E1015" s="11" t="str">
        <x:v>Tumbling risk issue in 2 places of pathways. Two concrete panels are raised up causing gaps between adjecent panels. To replace two surface concrete panels. Location: NE side of the building</x:v>
      </x:c>
      <x:c r="F1015" s="20" t="n">
        <x:v>11993</x:v>
      </x:c>
      <x:c r="G1015" s="8" t="str">
        <x:v>Buildings / building systems</x:v>
      </x:c>
      <x:c r="H1015" s="8" t="str">
        <x:v>KGW November 2023 report; estimate dates not supplied</x:v>
      </x:c>
      <x:c r="I1015" s="8" t="str">
        <x:v>https://flo.uri.sh/visualisation/15494950/embed</x:v>
      </x:c>
    </x:row>
    <x:row r="1016" ht="46" customHeight="1">
      <x:c r="A1016" s="7" t="n">
        <x:v>1012</x:v>
      </x:c>
      <x:c r="B1016" s="12" t="str">
        <x:v>Stark Street Island</x:v>
      </x:c>
      <x:c r="C1016" s="12" t="str">
        <x:v>Pathway Renovation</x:v>
      </x:c>
      <x:c r="D1016" s="12" t="str">
        <x:v>Stark Street Island</x:v>
      </x:c>
      <x:c r="E1016" s="12" t="str">
        <x:v>Replace the damaged pathway, trails and sidewalks that have been rated as 4 and 5 in Pathway assessment</x:v>
      </x:c>
      <x:c r="F1016" s="21" t="n">
        <x:v>76443</x:v>
      </x:c>
      <x:c r="G1016" s="7" t="str">
        <x:v>Paths / access / bridges</x:v>
      </x:c>
      <x:c r="H1016" s="7" t="str">
        <x:v>KGW November 2023 report; estimate dates not supplied</x:v>
      </x:c>
      <x:c r="I1016" s="7" t="str">
        <x:v>https://flo.uri.sh/visualisation/15494950/embed</x:v>
      </x:c>
    </x:row>
    <x:row r="1017" ht="46" customHeight="1">
      <x:c r="A1017" s="8" t="n">
        <x:v>1013</x:v>
      </x:c>
      <x:c r="B1017" s="11" t="str">
        <x:v>Stark Street Island</x:v>
      </x:c>
      <x:c r="C1017" s="11" t="str">
        <x:v>Replace Backflow preventer device</x:v>
      </x:c>
      <x:c r="D1017" s="11" t="str">
        <x:v>Property</x:v>
      </x:c>
      <x:c r="E1017" s="11" t="str">
        <x:v>- Replace out of compliance backflow preventer
- Assembly: Double Check Valve Assembly (DCVA)
- Premises Isolation (PI): 2" Reduced Pressure (RP) + Enclosure. Serial # 385822
- Move to property line, if needed
- Hazard: Aquatic</x:v>
      </x:c>
      <x:c r="F1017" s="20" t="n">
        <x:v>10000</x:v>
      </x:c>
      <x:c r="G1017" s="8" t="str">
        <x:v>Pools / aquatics</x:v>
      </x:c>
      <x:c r="H1017" s="8" t="str">
        <x:v>KGW November 2023 report; estimate dates not supplied</x:v>
      </x:c>
      <x:c r="I1017" s="8" t="str">
        <x:v>https://flo.uri.sh/visualisation/15494950/embed</x:v>
      </x:c>
    </x:row>
    <x:row r="1018" ht="46" customHeight="1">
      <x:c r="A1018" s="7" t="n">
        <x:v>1014</x:v>
      </x:c>
      <x:c r="B1018" s="12" t="str">
        <x:v>Stephens Creek Natural Area</x:v>
      </x:c>
      <x:c r="C1018" s="12" t="str">
        <x:v>Ecological Restoration_ Stephens Creek Natural Area</x:v>
      </x:c>
      <x:c r="D1018" s="12" t="str"/>
      <x:c r="E1018" s="12" t="str">
        <x:v>Placholder for Ecological health restoration
Part of (Terwilliger Parkway including George Himes and Duniway) project</x:v>
      </x:c>
      <x:c r="F1018" s="21" t="n">
        <x:v>294012</x:v>
      </x:c>
      <x:c r="G1018" s="7" t="str">
        <x:v>Other site infrastructure</x:v>
      </x:c>
      <x:c r="H1018" s="7" t="str">
        <x:v>KGW November 2023 report; estimate dates not supplied</x:v>
      </x:c>
      <x:c r="I1018" s="7" t="str">
        <x:v>https://flo.uri.sh/visualisation/15494950/embed</x:v>
      </x:c>
    </x:row>
    <x:row r="1019" ht="46" customHeight="1">
      <x:c r="A1019" s="8" t="n">
        <x:v>1015</x:v>
      </x:c>
      <x:c r="B1019" s="11" t="str">
        <x:v>Stephens Creek Natural Area</x:v>
      </x:c>
      <x:c r="C1019" s="11" t="str">
        <x:v>Pathway Renovation</x:v>
      </x:c>
      <x:c r="D1019" s="11" t="str">
        <x:v>Internal Pathway/ Sidewalk</x:v>
      </x:c>
      <x:c r="E1019" s="11" t="str">
        <x:v>Replace the damaged pathway, trails and sidewalks that have been rated as 4 and 5 in Pathway assessment</x:v>
      </x:c>
      <x:c r="F1019" s="20" t="n">
        <x:v>21878</x:v>
      </x:c>
      <x:c r="G1019" s="8" t="str">
        <x:v>Paths / access / bridges</x:v>
      </x:c>
      <x:c r="H1019" s="8" t="str">
        <x:v>KGW November 2023 report; estimate dates not supplied</x:v>
      </x:c>
      <x:c r="I1019" s="8" t="str">
        <x:v>https://flo.uri.sh/visualisation/15494950/embed</x:v>
      </x:c>
    </x:row>
    <x:row r="1020" ht="46" customHeight="1">
      <x:c r="A1020" s="7" t="n">
        <x:v>1016</x:v>
      </x:c>
      <x:c r="B1020" s="12" t="str">
        <x:v>Sumner-Albina Park</x:v>
      </x:c>
      <x:c r="C1020" s="12" t="str">
        <x:v>Pathway Renovation</x:v>
      </x:c>
      <x:c r="D1020" s="12" t="str">
        <x:v>Internal Pathway/ Sidewalk</x:v>
      </x:c>
      <x:c r="E1020" s="12" t="str">
        <x:v>Replace the damaged pathway, trails and sidewalks that have been rated as 4 and 5 in Pathway assessment</x:v>
      </x:c>
      <x:c r="F1020" s="21" t="n">
        <x:v>15926</x:v>
      </x:c>
      <x:c r="G1020" s="7" t="str">
        <x:v>Paths / access / bridges</x:v>
      </x:c>
      <x:c r="H1020" s="7" t="str">
        <x:v>KGW November 2023 report; estimate dates not supplied</x:v>
      </x:c>
      <x:c r="I1020" s="7" t="str">
        <x:v>https://flo.uri.sh/visualisation/15494950/embed</x:v>
      </x:c>
    </x:row>
    <x:row r="1021" ht="46" customHeight="1">
      <x:c r="A1021" s="8" t="n">
        <x:v>1017</x:v>
      </x:c>
      <x:c r="B1021" s="11" t="str">
        <x:v>Sunnyside School Park</x:v>
      </x:c>
      <x:c r="C1021" s="11" t="str">
        <x:v>Pathway Renovation</x:v>
      </x:c>
      <x:c r="D1021" s="11" t="str">
        <x:v>Internal Pathway/ Sidewalk</x:v>
      </x:c>
      <x:c r="E1021" s="11" t="str">
        <x:v>Replace the damaged pathway, trails and sidewalks that have been rated as 4 and 5 in Pathway assessment</x:v>
      </x:c>
      <x:c r="F1021" s="20" t="n">
        <x:v>24323</x:v>
      </x:c>
      <x:c r="G1021" s="8" t="str">
        <x:v>Paths / access / bridges</x:v>
      </x:c>
      <x:c r="H1021" s="8" t="str">
        <x:v>KGW November 2023 report; estimate dates not supplied</x:v>
      </x:c>
      <x:c r="I1021" s="8" t="str">
        <x:v>https://flo.uri.sh/visualisation/15494950/embed</x:v>
      </x:c>
    </x:row>
    <x:row r="1022" ht="46" customHeight="1">
      <x:c r="A1022" s="7" t="n">
        <x:v>1018</x:v>
      </x:c>
      <x:c r="B1022" s="12" t="str">
        <x:v>Sunnyside School Park</x:v>
      </x:c>
      <x:c r="C1022" s="12" t="str">
        <x:v>ESPC-III_Pathway Lighting to LEDs</x:v>
      </x:c>
      <x:c r="D1022" s="12" t="str"/>
      <x:c r="E1022" s="12" t="str">
        <x:v>Pathway Lighting Conversion to LEDs and Controls. Aprox: 4 Poles</x:v>
      </x:c>
      <x:c r="F1022" s="21" t="n">
        <x:v>14113</x:v>
      </x:c>
      <x:c r="G1022" s="7" t="str">
        <x:v>Paths / access / bridges</x:v>
      </x:c>
      <x:c r="H1022" s="7" t="str">
        <x:v>KGW November 2023 report; estimate dates not supplied</x:v>
      </x:c>
      <x:c r="I1022" s="7" t="str">
        <x:v>https://flo.uri.sh/visualisation/15494950/embed</x:v>
      </x:c>
    </x:row>
    <x:row r="1023" ht="46" customHeight="1">
      <x:c r="A1023" s="8" t="n">
        <x:v>1019</x:v>
      </x:c>
      <x:c r="B1023" s="11" t="str">
        <x:v>Sunnyside School Park</x:v>
      </x:c>
      <x:c r="C1023" s="11" t="str">
        <x:v>Renovate sport field</x:v>
      </x:c>
      <x:c r="D1023" s="11" t="str">
        <x:v>Sports Field 1, Ball Field 1</x:v>
      </x:c>
      <x:c r="E1023" s="11" t="str">
        <x:v>Sport fields rated 4 or 5 in condition assessment</x:v>
      </x:c>
      <x:c r="F1023" s="20" t="n">
        <x:v>1836003</x:v>
      </x:c>
      <x:c r="G1023" s="8" t="str">
        <x:v>Fields / courts / play</x:v>
      </x:c>
      <x:c r="H1023" s="8" t="str">
        <x:v>KGW November 2023 report; estimate dates not supplied</x:v>
      </x:c>
      <x:c r="I1023" s="8" t="str">
        <x:v>https://flo.uri.sh/visualisation/15494950/embed</x:v>
      </x:c>
    </x:row>
    <x:row r="1024" ht="46" customHeight="1">
      <x:c r="A1024" s="7" t="n">
        <x:v>1020</x:v>
      </x:c>
      <x:c r="B1024" s="12" t="str">
        <x:v>SW Carwash Fountain</x:v>
      </x:c>
      <x:c r="C1024" s="12" t="str">
        <x:v>Electrical system replacement</x:v>
      </x:c>
      <x:c r="D1024" s="12" t="str">
        <x:v>SW Carwash Fountain</x:v>
      </x:c>
      <x:c r="E1024" s="12" t="str">
        <x:v>Electrical system is unsafe to operate and has been disconnected.  Fountain cannot operate until new system is installed.  This is for installation of new system.</x:v>
      </x:c>
      <x:c r="F1024" s="21" t="n">
        <x:v>111054</x:v>
      </x:c>
      <x:c r="G1024" s="7" t="str">
        <x:v>Utilities / lighting / drainage</x:v>
      </x:c>
      <x:c r="H1024" s="7" t="str">
        <x:v>KGW November 2023 report; estimate dates not supplied</x:v>
      </x:c>
      <x:c r="I1024" s="7" t="str">
        <x:v>https://flo.uri.sh/visualisation/15494950/embed</x:v>
      </x:c>
    </x:row>
    <x:row r="1025" ht="46" customHeight="1">
      <x:c r="A1025" s="8" t="n">
        <x:v>1021</x:v>
      </x:c>
      <x:c r="B1025" s="11" t="str">
        <x:v>SW Talbot Property</x:v>
      </x:c>
      <x:c r="C1025" s="11" t="str">
        <x:v>Pathway Renovation</x:v>
      </x:c>
      <x:c r="D1025" s="11" t="str">
        <x:v>SW Talbot Property</x:v>
      </x:c>
      <x:c r="E1025" s="11" t="str">
        <x:v>Replace the damaged pathway, trails and sidewalks that have been rated as 4 and 5 in Pathway assessment</x:v>
      </x:c>
      <x:c r="F1025" s="20" t="n">
        <x:v>41162</x:v>
      </x:c>
      <x:c r="G1025" s="8" t="str">
        <x:v>Paths / access / bridges</x:v>
      </x:c>
      <x:c r="H1025" s="8" t="str">
        <x:v>KGW November 2023 report; estimate dates not supplied</x:v>
      </x:c>
      <x:c r="I1025" s="8" t="str">
        <x:v>https://flo.uri.sh/visualisation/15494950/embed</x:v>
      </x:c>
    </x:row>
    <x:row r="1026" ht="46" customHeight="1">
      <x:c r="A1026" s="7" t="n">
        <x:v>1022</x:v>
      </x:c>
      <x:c r="B1026" s="12" t="str">
        <x:v>SW Talbot Property</x:v>
      </x:c>
      <x:c r="C1026" s="12" t="str">
        <x:v>Replace Backflow preventer device</x:v>
      </x:c>
      <x:c r="D1026" s="12" t="str">
        <x:v>Property</x:v>
      </x:c>
      <x:c r="E1026" s="12" t="str">
        <x:v>- Replace out of compliance backflow preventer
- Assembly: Double Check Valve Assembly (DCVA)
- Premises Isolation (PI): 1" Double Check + Vault. Serial # A307798
- Move to property line, if needed
- Hazard: ROW</x:v>
      </x:c>
      <x:c r="F1026" s="21" t="n">
        <x:v>10000</x:v>
      </x:c>
      <x:c r="G1026" s="7" t="str">
        <x:v>Utilities / lighting / drainage</x:v>
      </x:c>
      <x:c r="H1026" s="7" t="str">
        <x:v>KGW November 2023 report; estimate dates not supplied</x:v>
      </x:c>
      <x:c r="I1026" s="7" t="str">
        <x:v>https://flo.uri.sh/visualisation/15494950/embed</x:v>
      </x:c>
    </x:row>
    <x:row r="1027" ht="46" customHeight="1">
      <x:c r="A1027" s="8" t="n">
        <x:v>1023</x:v>
      </x:c>
      <x:c r="B1027" s="11" t="str">
        <x:v>SW Terwilliger Blvd Parkway</x:v>
      </x:c>
      <x:c r="C1027" s="11" t="str">
        <x:v>Pathway Renovation</x:v>
      </x:c>
      <x:c r="D1027" s="11" t="str">
        <x:v>Internal Pathway/ Sidewalk</x:v>
      </x:c>
      <x:c r="E1027" s="11" t="str">
        <x:v>Replace the damaged pathway, trails and sidewalks that have been rated as 4 and 5 in Pathway assessment</x:v>
      </x:c>
      <x:c r="F1027" s="20" t="n">
        <x:v>980206</x:v>
      </x:c>
      <x:c r="G1027" s="8" t="str">
        <x:v>Paths / access / bridges</x:v>
      </x:c>
      <x:c r="H1027" s="8" t="str">
        <x:v>KGW November 2023 report; estimate dates not supplied</x:v>
      </x:c>
      <x:c r="I1027" s="8" t="str">
        <x:v>https://flo.uri.sh/visualisation/15494950/embed</x:v>
      </x:c>
    </x:row>
    <x:row r="1028" ht="46" customHeight="1">
      <x:c r="A1028" s="7" t="n">
        <x:v>1024</x:v>
      </x:c>
      <x:c r="B1028" s="12" t="str">
        <x:v>SW Terwilliger Blvd Parkway</x:v>
      </x:c>
      <x:c r="C1028" s="12" t="str">
        <x:v>Terwilliger Parkway North Marker Full Design</x:v>
      </x:c>
      <x:c r="D1028" s="12" t="str">
        <x:v>SW Terwilliger Blvd Parkway</x:v>
      </x:c>
      <x:c r="E1028" s="12" t="str">
        <x:v>On the Gateway Markers, we already installed the North Marker, but not the full design, which included a little plaza, a 2nd wall and some plantings.  To complete the full design, a rough estimate (we have not done a detailed cost estimate for this) is  $66,000</x:v>
      </x:c>
      <x:c r="F1028" s="21" t="n">
        <x:v>91717</x:v>
      </x:c>
      <x:c r="G1028" s="7" t="str">
        <x:v>Other site infrastructure</x:v>
      </x:c>
      <x:c r="H1028" s="7" t="str">
        <x:v>KGW November 2023 report; estimate dates not supplied</x:v>
      </x:c>
      <x:c r="I1028" s="7" t="str">
        <x:v>https://flo.uri.sh/visualisation/15494950/embed</x:v>
      </x:c>
    </x:row>
    <x:row r="1029" ht="46" customHeight="1">
      <x:c r="A1029" s="8" t="n">
        <x:v>1025</x:v>
      </x:c>
      <x:c r="B1029" s="11" t="str">
        <x:v>SW Terwilliger Blvd Parkway</x:v>
      </x:c>
      <x:c r="C1029" s="11" t="str">
        <x:v>Pathway Renovation</x:v>
      </x:c>
      <x:c r="D1029" s="11" t="str">
        <x:v>SW Terwilliger Blvd Parkway</x:v>
      </x:c>
      <x:c r="E1029" s="11" t="str">
        <x:v>Replace the damaged pathway, trails and sidewalks that have been rated as 5 in Pathway assessment</x:v>
      </x:c>
      <x:c r="F1029" s="20" t="n">
        <x:v>583016</x:v>
      </x:c>
      <x:c r="G1029" s="8" t="str">
        <x:v>Paths / access / bridges</x:v>
      </x:c>
      <x:c r="H1029" s="8" t="str">
        <x:v>KGW November 2023 report; estimate dates not supplied</x:v>
      </x:c>
      <x:c r="I1029" s="8" t="str">
        <x:v>https://flo.uri.sh/visualisation/15494950/embed</x:v>
      </x:c>
    </x:row>
    <x:row r="1030" ht="46" customHeight="1">
      <x:c r="A1030" s="7" t="n">
        <x:v>1026</x:v>
      </x:c>
      <x:c r="B1030" s="12" t="str">
        <x:v>SW Terwilliger Blvd Parkway</x:v>
      </x:c>
      <x:c r="C1030" s="12" t="str">
        <x:v>Ecological Restoration_ SW Terwilliger Blvd Parkway</x:v>
      </x:c>
      <x:c r="D1030" s="12" t="str"/>
      <x:c r="E1030" s="12" t="str">
        <x:v>Placholder for Ecological health restoration
Part of (Terwilliger Parkway including George Himes and Duniway) project</x:v>
      </x:c>
      <x:c r="F1030" s="21" t="n">
        <x:v>49041</x:v>
      </x:c>
      <x:c r="G1030" s="7" t="str">
        <x:v>Other site infrastructure</x:v>
      </x:c>
      <x:c r="H1030" s="7" t="str">
        <x:v>KGW November 2023 report; estimate dates not supplied</x:v>
      </x:c>
      <x:c r="I1030" s="7" t="str">
        <x:v>https://flo.uri.sh/visualisation/15494950/embed</x:v>
      </x:c>
    </x:row>
    <x:row r="1031" ht="46" customHeight="1">
      <x:c r="A1031" s="8" t="n">
        <x:v>1027</x:v>
      </x:c>
      <x:c r="B1031" s="11" t="str">
        <x:v>SW Terwilliger Blvd Parkway</x:v>
      </x:c>
      <x:c r="C1031" s="11" t="str">
        <x:v>Interpretive Signage</x:v>
      </x:c>
      <x:c r="D1031" s="11" t="str">
        <x:v>SW Terwilliger Blvd Parkway</x:v>
      </x:c>
      <x:c r="E1031" s="11" t="str">
        <x:v>Terwilliger Parkway is a high-profile, historic, linear park with beautiful scenery and dedicated stakeholders. It runs south from SW Jackson Drive near downtown Portland to SW Barbur Boulevard. The parks many stakeholders are very interested in celebrating the historic character of the parkway by the planning and installation of interpretive elements along the route. A rough conceptual (low confidence) budget estimate for this plan and installation is $130,000.</x:v>
      </x:c>
      <x:c r="F1031" s="20" t="n">
        <x:v>180655</x:v>
      </x:c>
      <x:c r="G1031" s="8" t="str">
        <x:v>Other site infrastructure</x:v>
      </x:c>
      <x:c r="H1031" s="8" t="str">
        <x:v>KGW November 2023 report; estimate dates not supplied</x:v>
      </x:c>
      <x:c r="I1031" s="8" t="str">
        <x:v>https://flo.uri.sh/visualisation/15494950/embed</x:v>
      </x:c>
    </x:row>
    <x:row r="1032" ht="46" customHeight="1">
      <x:c r="A1032" s="7" t="n">
        <x:v>1028</x:v>
      </x:c>
      <x:c r="B1032" s="12" t="str">
        <x:v>SW Terwilliger Blvd Parkway</x:v>
      </x:c>
      <x:c r="C1032" s="12" t="str">
        <x:v>Renovate parking lot_Parking Area I</x:v>
      </x:c>
      <x:c r="D1032" s="12" t="str">
        <x:v>Parking Area I</x:v>
      </x:c>
      <x:c r="E1032" s="12" t="str">
        <x:v>Repair parking lot that was rated 5 in condition assessment. Repair include surface, drainage and curb. approx area= 4707 sq.ft</x:v>
      </x:c>
      <x:c r="F1032" s="21" t="n">
        <x:v>128308</x:v>
      </x:c>
      <x:c r="G1032" s="7" t="str">
        <x:v>Utilities / lighting / drainage</x:v>
      </x:c>
      <x:c r="H1032" s="7" t="str">
        <x:v>KGW November 2023 report; estimate dates not supplied</x:v>
      </x:c>
      <x:c r="I1032" s="7" t="str">
        <x:v>https://flo.uri.sh/visualisation/15494950/embed</x:v>
      </x:c>
    </x:row>
    <x:row r="1033" ht="46" customHeight="1">
      <x:c r="A1033" s="8" t="n">
        <x:v>1029</x:v>
      </x:c>
      <x:c r="B1033" s="11" t="str">
        <x:v>SW Terwilliger Blvd Parkway</x:v>
      </x:c>
      <x:c r="C1033" s="11" t="str">
        <x:v>Terwilliger Parkway South Marker</x:v>
      </x:c>
      <x:c r="D1033" s="11" t="str">
        <x:v>SW Terwilliger Blvd Parkway</x:v>
      </x:c>
      <x:c r="E1033" s="11" t="str">
        <x:v>For the South Marker, the estimated Total Project Cost of full build-out, is $91,500    This includes the monument sign, a 2nd wall, the plantings and soft costs.  (This location does not have a little plaza.)  At the South location, the estimated TPC for just the Monument Sign in lawn is $46,000</x:v>
      </x:c>
      <x:c r="F1033" s="20" t="n">
        <x:v>127153</x:v>
      </x:c>
      <x:c r="G1033" s="8" t="str">
        <x:v>Other site infrastructure</x:v>
      </x:c>
      <x:c r="H1033" s="8" t="str">
        <x:v>KGW November 2023 report; estimate dates not supplied</x:v>
      </x:c>
      <x:c r="I1033" s="8" t="str">
        <x:v>https://flo.uri.sh/visualisation/15494950/embed</x:v>
      </x:c>
    </x:row>
    <x:row r="1034" ht="46" customHeight="1">
      <x:c r="A1034" s="7" t="n">
        <x:v>1030</x:v>
      </x:c>
      <x:c r="B1034" s="12" t="str">
        <x:v>SW Terwilliger Blvd Parkway</x:v>
      </x:c>
      <x:c r="C1034" s="12" t="str">
        <x:v>Structure Removal, Safety Improvements</x:v>
      </x:c>
      <x:c r="D1034" s="12" t="str">
        <x:v>SW Terwilliger Blvd Parkway</x:v>
      </x:c>
      <x:c r="E1034" s="12" t="str">
        <x:v>Norris parcel needs to have foundation removed, filled in, driveway remaining portion removed, and oil tank survey completed.</x:v>
      </x:c>
      <x:c r="F1034" s="21" t="n">
        <x:v>121765</x:v>
      </x:c>
      <x:c r="G1034" s="7" t="str">
        <x:v>Other site infrastructure</x:v>
      </x:c>
      <x:c r="H1034" s="7" t="str">
        <x:v>KGW November 2023 report; estimate dates not supplied</x:v>
      </x:c>
      <x:c r="I1034" s="7" t="str">
        <x:v>https://flo.uri.sh/visualisation/15494950/embed</x:v>
      </x:c>
    </x:row>
    <x:row r="1035" ht="46" customHeight="1">
      <x:c r="A1035" s="8" t="n">
        <x:v>1031</x:v>
      </x:c>
      <x:c r="B1035" s="11" t="str">
        <x:v>SW Terwilliger Blvd Parkway</x:v>
      </x:c>
      <x:c r="C1035" s="11" t="str">
        <x:v>ESPC-III_Buildings Lighting to LEDs</x:v>
      </x:c>
      <x:c r="D1035" s="11" t="str">
        <x:v>Restroom</x:v>
      </x:c>
      <x:c r="E1035" s="11" t="str">
        <x:v>LED conversion for Exterior and Interior Lights</x:v>
      </x:c>
      <x:c r="F1035" s="20" t="n">
        <x:v>11760</x:v>
      </x:c>
      <x:c r="G1035" s="8" t="str">
        <x:v>Buildings / building systems</x:v>
      </x:c>
      <x:c r="H1035" s="8" t="str">
        <x:v>KGW November 2023 report; estimate dates not supplied</x:v>
      </x:c>
      <x:c r="I1035" s="8" t="str">
        <x:v>https://flo.uri.sh/visualisation/15494950/embed</x:v>
      </x:c>
    </x:row>
    <x:row r="1036" ht="46" customHeight="1">
      <x:c r="A1036" s="7" t="n">
        <x:v>1032</x:v>
      </x:c>
      <x:c r="B1036" s="12" t="str">
        <x:v>SW Terwilliger Blvd Parkway</x:v>
      </x:c>
      <x:c r="C1036" s="12" t="str">
        <x:v>Replace Backflow preventer device</x:v>
      </x:c>
      <x:c r="D1036" s="12" t="str">
        <x:v>Restroom</x:v>
      </x:c>
      <x:c r="E1036" s="12" t="str">
        <x:v>- Replace out of compliance backflow preventer
- Assembly: Double Check Valve Assembly (DCVA)
- Premises Isolation (PI): 3/4" Double Check (DC)+ Vault. Serial # 19416
- Move to property line, if needed
- Hazard: ROW</x:v>
      </x:c>
      <x:c r="F1036" s="21" t="n">
        <x:v>10000</x:v>
      </x:c>
      <x:c r="G1036" s="7" t="str">
        <x:v>Utilities / lighting / drainage</x:v>
      </x:c>
      <x:c r="H1036" s="7" t="str">
        <x:v>KGW November 2023 report; estimate dates not supplied</x:v>
      </x:c>
      <x:c r="I1036" s="7" t="str">
        <x:v>https://flo.uri.sh/visualisation/15494950/embed</x:v>
      </x:c>
    </x:row>
    <x:row r="1037" ht="46" customHeight="1">
      <x:c r="A1037" s="8" t="n">
        <x:v>1033</x:v>
      </x:c>
      <x:c r="B1037" s="11" t="str">
        <x:v>Sylvania Park</x:v>
      </x:c>
      <x:c r="C1037" s="11" t="str">
        <x:v>Pathway Renovation</x:v>
      </x:c>
      <x:c r="D1037" s="11" t="str">
        <x:v>Sylvania Park</x:v>
      </x:c>
      <x:c r="E1037" s="11" t="str">
        <x:v>Replace the damaged pathway, trails and sidewalks that have been rated as 4 and 5 in Pathway assessment</x:v>
      </x:c>
      <x:c r="F1037" s="20" t="n">
        <x:v>51640</x:v>
      </x:c>
      <x:c r="G1037" s="8" t="str">
        <x:v>Paths / access / bridges</x:v>
      </x:c>
      <x:c r="H1037" s="8" t="str">
        <x:v>KGW November 2023 report; estimate dates not supplied</x:v>
      </x:c>
      <x:c r="I1037" s="8" t="str">
        <x:v>https://flo.uri.sh/visualisation/15494950/embed</x:v>
      </x:c>
    </x:row>
    <x:row r="1038" ht="46" customHeight="1">
      <x:c r="A1038" s="7" t="n">
        <x:v>1034</x:v>
      </x:c>
      <x:c r="B1038" s="12" t="str">
        <x:v>Tanner Springs Park</x:v>
      </x:c>
      <x:c r="C1038" s="12" t="str">
        <x:v>ESPC-III_Pathway Lighting to LEDs</x:v>
      </x:c>
      <x:c r="D1038" s="12" t="str"/>
      <x:c r="E1038" s="12" t="str">
        <x:v>Pathway Lighting Conversion to LEDs and Controls. Aprox: 26 Poles</x:v>
      </x:c>
      <x:c r="F1038" s="21" t="n">
        <x:v>91732</x:v>
      </x:c>
      <x:c r="G1038" s="7" t="str">
        <x:v>Paths / access / bridges</x:v>
      </x:c>
      <x:c r="H1038" s="7" t="str">
        <x:v>KGW November 2023 report; estimate dates not supplied</x:v>
      </x:c>
      <x:c r="I1038" s="7" t="str">
        <x:v>https://flo.uri.sh/visualisation/15494950/embed</x:v>
      </x:c>
    </x:row>
    <x:row r="1039" ht="46" customHeight="1">
      <x:c r="A1039" s="8" t="n">
        <x:v>1035</x:v>
      </x:c>
      <x:c r="B1039" s="11" t="str">
        <x:v>Tanner Springs Park</x:v>
      </x:c>
      <x:c r="C1039" s="11" t="str">
        <x:v>Pathway Renovation</x:v>
      </x:c>
      <x:c r="D1039" s="11" t="str">
        <x:v>Internal Pathway/ Sidewalk</x:v>
      </x:c>
      <x:c r="E1039" s="11" t="str">
        <x:v>Replace the damaged pathway, trails and sidewalks that have been rated as 4 and 5 in Pathway assessment</x:v>
      </x:c>
      <x:c r="F1039" s="20" t="n">
        <x:v>11800</x:v>
      </x:c>
      <x:c r="G1039" s="8" t="str">
        <x:v>Paths / access / bridges</x:v>
      </x:c>
      <x:c r="H1039" s="8" t="str">
        <x:v>KGW November 2023 report; estimate dates not supplied</x:v>
      </x:c>
      <x:c r="I1039" s="8" t="str">
        <x:v>https://flo.uri.sh/visualisation/15494950/embed</x:v>
      </x:c>
    </x:row>
    <x:row r="1040" ht="46" customHeight="1">
      <x:c r="A1040" s="7" t="n">
        <x:v>1036</x:v>
      </x:c>
      <x:c r="B1040" s="12" t="str">
        <x:v>Tanner Springs Park</x:v>
      </x:c>
      <x:c r="C1040" s="12" t="str">
        <x:v>Replace Backflow preventer device</x:v>
      </x:c>
      <x:c r="D1040" s="12" t="str">
        <x:v>Property</x:v>
      </x:c>
      <x:c r="E1040" s="12" t="str">
        <x:v>- Replace out of compliance backflow preventer
- Assembly: Double Check Valve Assembly (DCVA)
- Premises Isolation (PI): 2" Reduced Pressure (RP) + Enclosure. Serial # UN522
- Move to property line, if needed
- Hazard: Aquatics</x:v>
      </x:c>
      <x:c r="F1040" s="21" t="n">
        <x:v>10000</x:v>
      </x:c>
      <x:c r="G1040" s="7" t="str">
        <x:v>Pools / aquatics</x:v>
      </x:c>
      <x:c r="H1040" s="7" t="str">
        <x:v>KGW November 2023 report; estimate dates not supplied</x:v>
      </x:c>
      <x:c r="I1040" s="7" t="str">
        <x:v>https://flo.uri.sh/visualisation/15494950/embed</x:v>
      </x:c>
    </x:row>
    <x:row r="1041" ht="46" customHeight="1">
      <x:c r="A1041" s="8" t="n">
        <x:v>1037</x:v>
      </x:c>
      <x:c r="B1041" s="11" t="str">
        <x:v>The Fields</x:v>
      </x:c>
      <x:c r="C1041" s="11" t="str">
        <x:v>Pathway Renovation</x:v>
      </x:c>
      <x:c r="D1041" s="11" t="str">
        <x:v>The Fields</x:v>
      </x:c>
      <x:c r="E1041" s="11" t="str">
        <x:v>Replace the damaged pathway, trails and sidewalks that have been rated as 4 and 5 in Pathway assessment</x:v>
      </x:c>
      <x:c r="F1041" s="20" t="n">
        <x:v>282683</x:v>
      </x:c>
      <x:c r="G1041" s="8" t="str">
        <x:v>Paths / access / bridges</x:v>
      </x:c>
      <x:c r="H1041" s="8" t="str">
        <x:v>KGW November 2023 report; estimate dates not supplied</x:v>
      </x:c>
      <x:c r="I1041" s="8" t="str">
        <x:v>https://flo.uri.sh/visualisation/15494950/embed</x:v>
      </x:c>
    </x:row>
    <x:row r="1042" ht="46" customHeight="1">
      <x:c r="A1042" s="7" t="n">
        <x:v>1038</x:v>
      </x:c>
      <x:c r="B1042" s="12" t="str">
        <x:v>The Fields</x:v>
      </x:c>
      <x:c r="C1042" s="12" t="str">
        <x:v>Playground renovation</x:v>
      </x:c>
      <x:c r="D1042" s="12" t="str">
        <x:v>Play Area A</x:v>
      </x:c>
      <x:c r="E1042" s="12" t="str">
        <x:v>Renovation or repair playground that was rated as 5 during playground assessment in 2020</x:v>
      </x:c>
      <x:c r="F1042" s="21" t="n">
        <x:v>139226</x:v>
      </x:c>
      <x:c r="G1042" s="7" t="str">
        <x:v>Fields / courts / play</x:v>
      </x:c>
      <x:c r="H1042" s="7" t="str">
        <x:v>KGW November 2023 report; estimate dates not supplied</x:v>
      </x:c>
      <x:c r="I1042" s="7" t="str">
        <x:v>https://flo.uri.sh/visualisation/15494950/embed</x:v>
      </x:c>
    </x:row>
    <x:row r="1043" ht="46" customHeight="1">
      <x:c r="A1043" s="8" t="n">
        <x:v>1039</x:v>
      </x:c>
      <x:c r="B1043" s="11" t="str">
        <x:v>The Fields</x:v>
      </x:c>
      <x:c r="C1043" s="11" t="str">
        <x:v>ESPC-III_Buildings Lighting to LEDs</x:v>
      </x:c>
      <x:c r="D1043" s="11" t="str">
        <x:v>Restroom - Loo</x:v>
      </x:c>
      <x:c r="E1043" s="11" t="str">
        <x:v>LED conversion for Exterior and Interior Lights</x:v>
      </x:c>
      <x:c r="F1043" s="20" t="n">
        <x:v>11760</x:v>
      </x:c>
      <x:c r="G1043" s="8" t="str">
        <x:v>Buildings / building systems</x:v>
      </x:c>
      <x:c r="H1043" s="8" t="str">
        <x:v>KGW November 2023 report; estimate dates not supplied</x:v>
      </x:c>
      <x:c r="I1043" s="8" t="str">
        <x:v>https://flo.uri.sh/visualisation/15494950/embed</x:v>
      </x:c>
    </x:row>
    <x:row r="1044" ht="46" customHeight="1">
      <x:c r="A1044" s="7" t="n">
        <x:v>1040</x:v>
      </x:c>
      <x:c r="B1044" s="12" t="str">
        <x:v>Thomas Cully Property</x:v>
      </x:c>
      <x:c r="C1044" s="12" t="str">
        <x:v>Renovate sport field</x:v>
      </x:c>
      <x:c r="D1044" s="12" t="str">
        <x:v>Sports Field 1</x:v>
      </x:c>
      <x:c r="E1044" s="12" t="str">
        <x:v>Sport fields rated 4 or 5 in condition assessment</x:v>
      </x:c>
      <x:c r="F1044" s="21" t="n">
        <x:v>551297</x:v>
      </x:c>
      <x:c r="G1044" s="7" t="str">
        <x:v>Fields / courts / play</x:v>
      </x:c>
      <x:c r="H1044" s="7" t="str">
        <x:v>KGW November 2023 report; estimate dates not supplied</x:v>
      </x:c>
      <x:c r="I1044" s="7" t="str">
        <x:v>https://flo.uri.sh/visualisation/15494950/embed</x:v>
      </x:c>
    </x:row>
    <x:row r="1045" ht="46" customHeight="1">
      <x:c r="A1045" s="8" t="n">
        <x:v>1041</x:v>
      </x:c>
      <x:c r="B1045" s="11" t="str">
        <x:v>Thomas Cully Property</x:v>
      </x:c>
      <x:c r="C1045" s="11" t="str">
        <x:v>Pathway Renovation</x:v>
      </x:c>
      <x:c r="D1045" s="11" t="str">
        <x:v>Internal Pathway/ Sidewalk</x:v>
      </x:c>
      <x:c r="E1045" s="11" t="str">
        <x:v>Replace the damaged pathway, trails and sidewalks that have been rated as 4 and 5 in Pathway assessment</x:v>
      </x:c>
      <x:c r="F1045" s="20" t="n">
        <x:v>24850</x:v>
      </x:c>
      <x:c r="G1045" s="8" t="str">
        <x:v>Paths / access / bridges</x:v>
      </x:c>
      <x:c r="H1045" s="8" t="str">
        <x:v>KGW November 2023 report; estimate dates not supplied</x:v>
      </x:c>
      <x:c r="I1045" s="8" t="str">
        <x:v>https://flo.uri.sh/visualisation/15494950/embed</x:v>
      </x:c>
    </x:row>
    <x:row r="1046" ht="46" customHeight="1">
      <x:c r="A1046" s="7" t="n">
        <x:v>1042</x:v>
      </x:c>
      <x:c r="B1046" s="12" t="str">
        <x:v>Thomas Cully Property</x:v>
      </x:c>
      <x:c r="C1046" s="12" t="str">
        <x:v>ESPC-III_Buildings Lighting to LEDs</x:v>
      </x:c>
      <x:c r="D1046" s="12" t="str">
        <x:v>Restroom - Loo</x:v>
      </x:c>
      <x:c r="E1046" s="12" t="str">
        <x:v>LED conversion for Exterior and Interior Lights</x:v>
      </x:c>
      <x:c r="F1046" s="21" t="n">
        <x:v>11760</x:v>
      </x:c>
      <x:c r="G1046" s="7" t="str">
        <x:v>Buildings / building systems</x:v>
      </x:c>
      <x:c r="H1046" s="7" t="str">
        <x:v>KGW November 2023 report; estimate dates not supplied</x:v>
      </x:c>
      <x:c r="I1046" s="7" t="str">
        <x:v>https://flo.uri.sh/visualisation/15494950/embed</x:v>
      </x:c>
    </x:row>
    <x:row r="1047" ht="46" customHeight="1">
      <x:c r="A1047" s="8" t="n">
        <x:v>1043</x:v>
      </x:c>
      <x:c r="B1047" s="11" t="str">
        <x:v>Tideman Johnson Natural Area</x:v>
      </x:c>
      <x:c r="C1047" s="11" t="str">
        <x:v>Pathway Renovation</x:v>
      </x:c>
      <x:c r="D1047" s="11" t="str">
        <x:v>Tideman Johnson Natural Area</x:v>
      </x:c>
      <x:c r="E1047" s="11" t="str">
        <x:v>Replace the damaged pathway, trails and sidewalks that have been rated as 4 and 5 in Pathway assessment</x:v>
      </x:c>
      <x:c r="F1047" s="20" t="n">
        <x:v>53844</x:v>
      </x:c>
      <x:c r="G1047" s="8" t="str">
        <x:v>Paths / access / bridges</x:v>
      </x:c>
      <x:c r="H1047" s="8" t="str">
        <x:v>KGW November 2023 report; estimate dates not supplied</x:v>
      </x:c>
      <x:c r="I1047" s="8" t="str">
        <x:v>https://flo.uri.sh/visualisation/15494950/embed</x:v>
      </x:c>
    </x:row>
    <x:row r="1048" ht="46" customHeight="1">
      <x:c r="A1048" s="7" t="n">
        <x:v>1044</x:v>
      </x:c>
      <x:c r="B1048" s="12" t="str">
        <x:v>Tideman Johnson Natural Area</x:v>
      </x:c>
      <x:c r="C1048" s="12" t="str">
        <x:v>Replace Backflow preventer device</x:v>
      </x:c>
      <x:c r="D1048" s="12" t="str">
        <x:v>Property</x:v>
      </x:c>
      <x:c r="E1048" s="12" t="str">
        <x:v>- Replace out of compliance backflow preventer
- Assembly: Double Check Valve Assembly (DCVA)
- Premises Isolation (PI): 1" Double Check (DC)+ Vault. Serial # 52210
- Move to property line, if needed
- Hazard: Flood Plain</x:v>
      </x:c>
      <x:c r="F1048" s="21" t="n">
        <x:v>10000</x:v>
      </x:c>
      <x:c r="G1048" s="7" t="str">
        <x:v>Utilities / lighting / drainage</x:v>
      </x:c>
      <x:c r="H1048" s="7" t="str">
        <x:v>KGW November 2023 report; estimate dates not supplied</x:v>
      </x:c>
      <x:c r="I1048" s="7" t="str">
        <x:v>https://flo.uri.sh/visualisation/15494950/embed</x:v>
      </x:c>
    </x:row>
    <x:row r="1049" ht="46" customHeight="1">
      <x:c r="A1049" s="8" t="n">
        <x:v>1045</x:v>
      </x:c>
      <x:c r="B1049" s="11" t="str">
        <x:v>Toe Island</x:v>
      </x:c>
      <x:c r="C1049" s="11" t="str">
        <x:v>Ecological Restoration_ Toe Island</x:v>
      </x:c>
      <x:c r="D1049" s="11" t="str"/>
      <x:c r="E1049" s="11" t="str">
        <x:v>Placholder for Ecological health restoration
Part of (Oaks Crossing. And Ross &amp; Toe Islands) project</x:v>
      </x:c>
      <x:c r="F1049" s="20" t="n">
        <x:v>49041</x:v>
      </x:c>
      <x:c r="G1049" s="8" t="str">
        <x:v>Other site infrastructure</x:v>
      </x:c>
      <x:c r="H1049" s="8" t="str">
        <x:v>KGW November 2023 report; estimate dates not supplied</x:v>
      </x:c>
      <x:c r="I1049" s="8" t="str">
        <x:v>https://flo.uri.sh/visualisation/15494950/embed</x:v>
      </x:c>
    </x:row>
    <x:row r="1050" ht="46" customHeight="1">
      <x:c r="A1050" s="7" t="n">
        <x:v>1046</x:v>
      </x:c>
      <x:c r="B1050" s="12" t="str">
        <x:v>Trenton Park</x:v>
      </x:c>
      <x:c r="C1050" s="12" t="str">
        <x:v>ESPC-III_Pathway Lighting to LEDs</x:v>
      </x:c>
      <x:c r="D1050" s="12" t="str"/>
      <x:c r="E1050" s="12" t="str">
        <x:v>Pathway Lighting Conversion to LEDs and Controls. Aprox: 2 Poles</x:v>
      </x:c>
      <x:c r="F1050" s="21" t="n">
        <x:v>7056</x:v>
      </x:c>
      <x:c r="G1050" s="7" t="str">
        <x:v>Paths / access / bridges</x:v>
      </x:c>
      <x:c r="H1050" s="7" t="str">
        <x:v>KGW November 2023 report; estimate dates not supplied</x:v>
      </x:c>
      <x:c r="I1050" s="7" t="str">
        <x:v>https://flo.uri.sh/visualisation/15494950/embed</x:v>
      </x:c>
    </x:row>
    <x:row r="1051" ht="46" customHeight="1">
      <x:c r="A1051" s="8" t="n">
        <x:v>1047</x:v>
      </x:c>
      <x:c r="B1051" s="11" t="str">
        <x:v>Two Plum Park</x:v>
      </x:c>
      <x:c r="C1051" s="11" t="str">
        <x:v>ESPC-III_Pathway Lighting to LEDs</x:v>
      </x:c>
      <x:c r="D1051" s="11" t="str"/>
      <x:c r="E1051" s="11" t="str">
        <x:v>Pathway Lighting Conversion to LEDs and Controls. Aprox: 1 Poles</x:v>
      </x:c>
      <x:c r="F1051" s="20" t="n">
        <x:v>3528</x:v>
      </x:c>
      <x:c r="G1051" s="8" t="str">
        <x:v>Paths / access / bridges</x:v>
      </x:c>
      <x:c r="H1051" s="8" t="str">
        <x:v>KGW November 2023 report; estimate dates not supplied</x:v>
      </x:c>
      <x:c r="I1051" s="8" t="str">
        <x:v>https://flo.uri.sh/visualisation/15494950/embed</x:v>
      </x:c>
    </x:row>
    <x:row r="1052" ht="46" customHeight="1">
      <x:c r="A1052" s="7" t="n">
        <x:v>1048</x:v>
      </x:c>
      <x:c r="B1052" s="12" t="str">
        <x:v>Two Plum Park</x:v>
      </x:c>
      <x:c r="C1052" s="12" t="str">
        <x:v>Pathway Renovation</x:v>
      </x:c>
      <x:c r="D1052" s="12" t="str">
        <x:v>Internal Pathway/ Sidewalk</x:v>
      </x:c>
      <x:c r="E1052" s="12" t="str">
        <x:v>Replace the damaged pathway, trails and sidewalks that have been rated as 4 and 5 in Pathway assessment</x:v>
      </x:c>
      <x:c r="F1052" s="21" t="n">
        <x:v>13554</x:v>
      </x:c>
      <x:c r="G1052" s="7" t="str">
        <x:v>Paths / access / bridges</x:v>
      </x:c>
      <x:c r="H1052" s="7" t="str">
        <x:v>KGW November 2023 report; estimate dates not supplied</x:v>
      </x:c>
      <x:c r="I1052" s="7" t="str">
        <x:v>https://flo.uri.sh/visualisation/15494950/embed</x:v>
      </x:c>
    </x:row>
    <x:row r="1053" ht="46" customHeight="1">
      <x:c r="A1053" s="8" t="n">
        <x:v>1049</x:v>
      </x:c>
      <x:c r="B1053" s="11" t="str">
        <x:v>University Park</x:v>
      </x:c>
      <x:c r="C1053" s="11" t="str">
        <x:v>Renovate the Roof of Restroom - Storage building</x:v>
      </x:c>
      <x:c r="D1053" s="11" t="str">
        <x:v>Restroom A</x:v>
      </x:c>
      <x:c r="E1053" s="11" t="str">
        <x:v>Fix or replace the Roof that is rated 4 through buildings' assessment</x:v>
      </x:c>
      <x:c r="F1053" s="20" t="n">
        <x:v>80426</x:v>
      </x:c>
      <x:c r="G1053" s="8" t="str">
        <x:v>Buildings / building systems</x:v>
      </x:c>
      <x:c r="H1053" s="8" t="str">
        <x:v>KGW November 2023 report; estimate dates not supplied</x:v>
      </x:c>
      <x:c r="I1053" s="8" t="str">
        <x:v>https://flo.uri.sh/visualisation/15494950/embed</x:v>
      </x:c>
    </x:row>
    <x:row r="1054" ht="46" customHeight="1">
      <x:c r="A1054" s="7" t="n">
        <x:v>1050</x:v>
      </x:c>
      <x:c r="B1054" s="12" t="str">
        <x:v>University Park</x:v>
      </x:c>
      <x:c r="C1054" s="12" t="str">
        <x:v>Fire Protection improvement</x:v>
      </x:c>
      <x:c r="D1054" s="12" t="str">
        <x:v>Charles Jordan Community Center</x:v>
      </x:c>
      <x:c r="E1054" s="12" t="str">
        <x:v>Redesign the quantity and position of sprinklers in basement area. Provide sprinkler protection in unprotected crawl spaces.</x:v>
      </x:c>
      <x:c r="F1054" s="21" t="n">
        <x:v>724906</x:v>
      </x:c>
      <x:c r="G1054" s="7" t="str">
        <x:v>Buildings / building systems</x:v>
      </x:c>
      <x:c r="H1054" s="7" t="str">
        <x:v>KGW November 2023 report; estimate dates not supplied</x:v>
      </x:c>
      <x:c r="I1054" s="7" t="str">
        <x:v>https://flo.uri.sh/visualisation/15494950/embed</x:v>
      </x:c>
    </x:row>
    <x:row r="1055" ht="46" customHeight="1">
      <x:c r="A1055" s="8" t="n">
        <x:v>1051</x:v>
      </x:c>
      <x:c r="B1055" s="11" t="str">
        <x:v>University Park</x:v>
      </x:c>
      <x:c r="C1055" s="11" t="str">
        <x:v>Playground renovation</x:v>
      </x:c>
      <x:c r="D1055" s="11" t="str">
        <x:v>University Park</x:v>
      </x:c>
      <x:c r="E1055" s="11" t="str">
        <x:v>- The vinyl coating is coming off of the play structure platforms and is creating jagged edges, potential for a bad scrape.
- Install play equipment in the soft surface area at the north end of the building, new addition, and expand play area to add more equipment (current range is inadequate).  Add sizeable free play area, per Technical Paper.
-Playground gets lots of mole hills so soil get mixed in with the playchips.  Please put on list for bond projects for installing a barrier</x:v>
      </x:c>
      <x:c r="F1055" s="20" t="n">
        <x:v>555595</x:v>
      </x:c>
      <x:c r="G1055" s="8" t="str">
        <x:v>Buildings / building systems</x:v>
      </x:c>
      <x:c r="H1055" s="8" t="str">
        <x:v>KGW November 2023 report; estimate dates not supplied</x:v>
      </x:c>
      <x:c r="I1055" s="8" t="str">
        <x:v>https://flo.uri.sh/visualisation/15494950/embed</x:v>
      </x:c>
    </x:row>
    <x:row r="1056" ht="46" customHeight="1">
      <x:c r="A1056" s="7" t="n">
        <x:v>1052</x:v>
      </x:c>
      <x:c r="B1056" s="12" t="str">
        <x:v>University Park</x:v>
      </x:c>
      <x:c r="C1056" s="12" t="str">
        <x:v>ESPC-II_ Charles Jordan Community Center</x:v>
      </x:c>
      <x:c r="D1056" s="12" t="str"/>
      <x:c r="E1056" s="12" t="str">
        <x:v>Replace old RTUs 6-11 on SE wing of Charles Jordan Community Center with new like-for-like more efficient models.. FIM Name: 03.00-0825 Air-Side &amp; Unitary HVAC Equipment Upgrades</x:v>
      </x:c>
      <x:c r="F1056" s="21" t="n">
        <x:v>438450</x:v>
      </x:c>
      <x:c r="G1056" s="7" t="str">
        <x:v>Buildings / building systems</x:v>
      </x:c>
      <x:c r="H1056" s="7" t="str">
        <x:v>KGW November 2023 report; estimate dates not supplied</x:v>
      </x:c>
      <x:c r="I1056" s="7" t="str">
        <x:v>https://flo.uri.sh/visualisation/15494950/embed</x:v>
      </x:c>
    </x:row>
    <x:row r="1057" ht="46" customHeight="1">
      <x:c r="A1057" s="8" t="n">
        <x:v>1053</x:v>
      </x:c>
      <x:c r="B1057" s="11" t="str">
        <x:v>University Park</x:v>
      </x:c>
      <x:c r="C1057" s="11" t="str">
        <x:v>Pathway Renovation</x:v>
      </x:c>
      <x:c r="D1057" s="11" t="str">
        <x:v>Internal Pathway/ Sidewalk</x:v>
      </x:c>
      <x:c r="E1057" s="11" t="str">
        <x:v>Replace the damaged pathway, trails and sidewalks that have been rated as 4 and 5 in Pathway assessment</x:v>
      </x:c>
      <x:c r="F1057" s="20" t="n">
        <x:v>40176</x:v>
      </x:c>
      <x:c r="G1057" s="8" t="str">
        <x:v>Paths / access / bridges</x:v>
      </x:c>
      <x:c r="H1057" s="8" t="str">
        <x:v>KGW November 2023 report; estimate dates not supplied</x:v>
      </x:c>
      <x:c r="I1057" s="8" t="str">
        <x:v>https://flo.uri.sh/visualisation/15494950/embed</x:v>
      </x:c>
    </x:row>
    <x:row r="1058" ht="46" customHeight="1">
      <x:c r="A1058" s="7" t="n">
        <x:v>1054</x:v>
      </x:c>
      <x:c r="B1058" s="12" t="str">
        <x:v>University Park</x:v>
      </x:c>
      <x:c r="C1058" s="12" t="str">
        <x:v>Upgrade Sidewalk</x:v>
      </x:c>
      <x:c r="D1058" s="12" t="str">
        <x:v>University Park</x:v>
      </x:c>
      <x:c r="E1058" s="12" t="str">
        <x:v>The sidewalk at University Park, north side, extends from the community center, down Alaska to the restroom building where it stops.  There is about 180' space between the end of that sidewalk piece and the sidewalk that runs along in front of the residences.  It is not ADA accessible, just a dirt path in that area.  Please add installing this "missing" piece of sidewalk to the CIP list for improved access to the community center.</x:v>
      </x:c>
      <x:c r="F1058" s="21" t="n">
        <x:v>29983</x:v>
      </x:c>
      <x:c r="G1058" s="7" t="str">
        <x:v>Buildings / building systems</x:v>
      </x:c>
      <x:c r="H1058" s="7" t="str">
        <x:v>KGW November 2023 report; estimate dates not supplied</x:v>
      </x:c>
      <x:c r="I1058" s="7" t="str">
        <x:v>https://flo.uri.sh/visualisation/15494950/embed</x:v>
      </x:c>
    </x:row>
    <x:row r="1059" ht="46" customHeight="1">
      <x:c r="A1059" s="8" t="n">
        <x:v>1055</x:v>
      </x:c>
      <x:c r="B1059" s="11" t="str">
        <x:v>University Park</x:v>
      </x:c>
      <x:c r="C1059" s="11" t="str">
        <x:v>Expand facility; Develop strategy</x:v>
      </x:c>
      <x:c r="D1059" s="11" t="str">
        <x:v>Charles Jordan Community Center</x:v>
      </x:c>
      <x:c r="E1059" s="11" t="str">
        <x:v>$30M - Commissioner project - (likely over multiple fiscal years).
Old Project Description:
Develop a strategy for identifying potential appropriate pool expansion and/ or center expansion or relocation project for CJCC.  Initial ideas include: expand facility by adding a therapy pool facility (from aquatic technical paper recommendation) and look at expanding parking area, property boundaries.  This project should be determined with public input, after an aquatic strategy for N/NE Portland is developed.</x:v>
      </x:c>
      <x:c r="F1059" s="20" t="n">
        <x:v>25863466</x:v>
      </x:c>
      <x:c r="G1059" s="8" t="str">
        <x:v>Pools / aquatics</x:v>
      </x:c>
      <x:c r="H1059" s="8" t="str">
        <x:v>KGW November 2023 report; estimate dates not supplied</x:v>
      </x:c>
      <x:c r="I1059" s="8" t="str">
        <x:v>https://flo.uri.sh/visualisation/15494950/embed</x:v>
      </x:c>
    </x:row>
    <x:row r="1060" ht="46" customHeight="1">
      <x:c r="A1060" s="7" t="n">
        <x:v>1056</x:v>
      </x:c>
      <x:c r="B1060" s="12" t="str">
        <x:v>University Park</x:v>
      </x:c>
      <x:c r="C1060" s="12" t="str">
        <x:v>ESPC-II_ Charles Jordan Community Center</x:v>
      </x:c>
      <x:c r="D1060" s="12" t="str"/>
      <x:c r="E1060" s="12" t="str">
        <x:v>CJCC; Install 100 occupancy sensor plug load power strips throughout the facility to reduce plug load power consumption for loads that do not need to be on 24/7 such as computer monitors, TVs, scanners, paper shredders, printers, speakers, etc. All CPUs, modems, and routers to be plugged into "always on" ports in power strip to ensure connectivity for the IT department to push updates.. FIM Name: 16.02-0825 Install Plug Load Management</x:v>
      </x:c>
      <x:c r="F1060" s="21" t="n">
        <x:v>21211</x:v>
      </x:c>
      <x:c r="G1060" s="7" t="str">
        <x:v>Buildings / building systems</x:v>
      </x:c>
      <x:c r="H1060" s="7" t="str">
        <x:v>KGW November 2023 report; estimate dates not supplied</x:v>
      </x:c>
      <x:c r="I1060" s="7" t="str">
        <x:v>https://flo.uri.sh/visualisation/15494950/embed</x:v>
      </x:c>
    </x:row>
    <x:row r="1061" ht="46" customHeight="1">
      <x:c r="A1061" s="8" t="n">
        <x:v>1057</x:v>
      </x:c>
      <x:c r="B1061" s="11" t="str">
        <x:v>University Park</x:v>
      </x:c>
      <x:c r="C1061" s="11" t="str">
        <x:v>Renovate parking lot_Parking Area A</x:v>
      </x:c>
      <x:c r="D1061" s="11" t="str">
        <x:v>Parking Area A</x:v>
      </x:c>
      <x:c r="E1061" s="11" t="str">
        <x:v>Repair parking lot that was rated 4 in condition assessment. Repair include surface, drainage and curb. approx area= 12801 sq.ft</x:v>
      </x:c>
      <x:c r="F1061" s="20" t="n">
        <x:v>209296</x:v>
      </x:c>
      <x:c r="G1061" s="8" t="str">
        <x:v>Utilities / lighting / drainage</x:v>
      </x:c>
      <x:c r="H1061" s="8" t="str">
        <x:v>KGW November 2023 report; estimate dates not supplied</x:v>
      </x:c>
      <x:c r="I1061" s="8" t="str">
        <x:v>https://flo.uri.sh/visualisation/15494950/embed</x:v>
      </x:c>
    </x:row>
    <x:row r="1062" ht="46" customHeight="1">
      <x:c r="A1062" s="7" t="n">
        <x:v>1058</x:v>
      </x:c>
      <x:c r="B1062" s="12" t="str">
        <x:v>University Park</x:v>
      </x:c>
      <x:c r="C1062" s="12" t="str">
        <x:v>Playground renovation</x:v>
      </x:c>
      <x:c r="D1062" s="12" t="str">
        <x:v>Play Area A</x:v>
      </x:c>
      <x:c r="E1062" s="12" t="str">
        <x:v>Renovation or repair playground that was rated as 4
 during playground assessment in 2020</x:v>
      </x:c>
      <x:c r="F1062" s="21" t="n">
        <x:v>165711</x:v>
      </x:c>
      <x:c r="G1062" s="7" t="str">
        <x:v>Fields / courts / play</x:v>
      </x:c>
      <x:c r="H1062" s="7" t="str">
        <x:v>KGW November 2023 report; estimate dates not supplied</x:v>
      </x:c>
      <x:c r="I1062" s="7" t="str">
        <x:v>https://flo.uri.sh/visualisation/15494950/embed</x:v>
      </x:c>
    </x:row>
    <x:row r="1063" ht="46" customHeight="1">
      <x:c r="A1063" s="8" t="n">
        <x:v>1059</x:v>
      </x:c>
      <x:c r="B1063" s="11" t="str">
        <x:v>University Park</x:v>
      </x:c>
      <x:c r="C1063" s="11" t="str">
        <x:v>ESPC-II_ Charles Jordan Community Center</x:v>
      </x:c>
      <x:c r="D1063" s="11" t="str"/>
      <x:c r="E1063" s="11" t="str">
        <x:v>Replace one existing 199 MBH natural gas fired domestic water heater (WH#2) at Charles Jordan Community Center with new high efficiency modulating natural gas domestic water heater.. FIM Name: 12.00-0825 New High Efficiency Domestic Water Heaters</x:v>
      </x:c>
      <x:c r="F1063" s="20" t="n">
        <x:v>118449</x:v>
      </x:c>
      <x:c r="G1063" s="8" t="str">
        <x:v>Buildings / building systems</x:v>
      </x:c>
      <x:c r="H1063" s="8" t="str">
        <x:v>KGW November 2023 report; estimate dates not supplied</x:v>
      </x:c>
      <x:c r="I1063" s="8" t="str">
        <x:v>https://flo.uri.sh/visualisation/15494950/embed</x:v>
      </x:c>
    </x:row>
    <x:row r="1064" ht="46" customHeight="1">
      <x:c r="A1064" s="7" t="n">
        <x:v>1060</x:v>
      </x:c>
      <x:c r="B1064" s="12" t="str">
        <x:v>University Park</x:v>
      </x:c>
      <x:c r="C1064" s="12" t="str">
        <x:v>ESPC-III_Buildings Lighting to LEDs</x:v>
      </x:c>
      <x:c r="D1064" s="12" t="str">
        <x:v>Community Center</x:v>
      </x:c>
      <x:c r="E1064" s="12" t="str">
        <x:v>LED conversion for Exterior and Interior Lights</x:v>
      </x:c>
      <x:c r="F1064" s="21" t="n">
        <x:v>11760</x:v>
      </x:c>
      <x:c r="G1064" s="7" t="str">
        <x:v>Buildings / building systems</x:v>
      </x:c>
      <x:c r="H1064" s="7" t="str">
        <x:v>KGW November 2023 report; estimate dates not supplied</x:v>
      </x:c>
      <x:c r="I1064" s="7" t="str">
        <x:v>https://flo.uri.sh/visualisation/15494950/embed</x:v>
      </x:c>
    </x:row>
    <x:row r="1065" ht="46" customHeight="1">
      <x:c r="A1065" s="8" t="n">
        <x:v>1061</x:v>
      </x:c>
      <x:c r="B1065" s="11" t="str">
        <x:v>University Park</x:v>
      </x:c>
      <x:c r="C1065" s="11" t="str">
        <x:v>ESPC-III_Buildings Lighting to LEDs</x:v>
      </x:c>
      <x:c r="D1065" s="11" t="str">
        <x:v>Restroom - Storage</x:v>
      </x:c>
      <x:c r="E1065" s="11" t="str">
        <x:v>LED conversion for Exterior and Interior Lights</x:v>
      </x:c>
      <x:c r="F1065" s="20" t="n">
        <x:v>11760</x:v>
      </x:c>
      <x:c r="G1065" s="8" t="str">
        <x:v>Buildings / building systems</x:v>
      </x:c>
      <x:c r="H1065" s="8" t="str">
        <x:v>KGW November 2023 report; estimate dates not supplied</x:v>
      </x:c>
      <x:c r="I1065" s="8" t="str">
        <x:v>https://flo.uri.sh/visualisation/15494950/embed</x:v>
      </x:c>
    </x:row>
    <x:row r="1066" ht="46" customHeight="1">
      <x:c r="A1066" s="7" t="n">
        <x:v>1062</x:v>
      </x:c>
      <x:c r="B1066" s="12" t="str">
        <x:v>University Park</x:v>
      </x:c>
      <x:c r="C1066" s="12" t="str">
        <x:v>CJCC Roofing</x:v>
      </x:c>
      <x:c r="D1066" s="12" t="str">
        <x:v>Charles Jordan Community Center</x:v>
      </x:c>
      <x:c r="E1066" s="12" t="str">
        <x:v>Major roof repairs at Charles Jordan Community Center. Funded by one-time General Fund Discretionary.</x:v>
      </x:c>
      <x:c r="F1066" s="21" t="n">
        <x:v>10730324</x:v>
      </x:c>
      <x:c r="G1066" s="7" t="str">
        <x:v>Buildings / building systems</x:v>
      </x:c>
      <x:c r="H1066" s="7" t="str">
        <x:v>KGW November 2023 report; estimate dates not supplied</x:v>
      </x:c>
      <x:c r="I1066" s="7" t="str">
        <x:v>https://flo.uri.sh/visualisation/15494950/embed</x:v>
      </x:c>
    </x:row>
    <x:row r="1067" ht="46" customHeight="1">
      <x:c r="A1067" s="8" t="n">
        <x:v>1063</x:v>
      </x:c>
      <x:c r="B1067" s="11" t="str">
        <x:v>University Park</x:v>
      </x:c>
      <x:c r="C1067" s="11" t="str">
        <x:v>ESPC-II_ Charles Jordan Community Center</x:v>
      </x:c>
      <x:c r="D1067" s="11" t="str"/>
      <x:c r="E1067" s="11" t="str">
        <x:v>CJCC - Retro commission all irrigation sprinkler systems and heads to ensure proper thrown and timing. Replace 10% of all rotary and spray heads.. FIM Name: 18.10-0825 Irrigation System Improvements</x:v>
      </x:c>
      <x:c r="F1067" s="20" t="n">
        <x:v>1149</x:v>
      </x:c>
      <x:c r="G1067" s="8" t="str">
        <x:v>Buildings / building systems</x:v>
      </x:c>
      <x:c r="H1067" s="8" t="str">
        <x:v>KGW November 2023 report; estimate dates not supplied</x:v>
      </x:c>
      <x:c r="I1067" s="8" t="str">
        <x:v>https://flo.uri.sh/visualisation/15494950/embed</x:v>
      </x:c>
    </x:row>
    <x:row r="1068" ht="46" customHeight="1">
      <x:c r="A1068" s="7" t="n">
        <x:v>1064</x:v>
      </x:c>
      <x:c r="B1068" s="12" t="str">
        <x:v>Ventura Park</x:v>
      </x:c>
      <x:c r="C1068" s="12" t="str">
        <x:v>Renovate parking lot_Parking Area A</x:v>
      </x:c>
      <x:c r="D1068" s="12" t="str">
        <x:v>Parking Area A</x:v>
      </x:c>
      <x:c r="E1068" s="12" t="str">
        <x:v>Repair parking lot that was rated 5 in condition assessment. Repair include surface, drainage and curb. approx area= 15199 sq.ft</x:v>
      </x:c>
      <x:c r="F1068" s="21" t="n">
        <x:v>462843</x:v>
      </x:c>
      <x:c r="G1068" s="7" t="str">
        <x:v>Utilities / lighting / drainage</x:v>
      </x:c>
      <x:c r="H1068" s="7" t="str">
        <x:v>KGW November 2023 report; estimate dates not supplied</x:v>
      </x:c>
      <x:c r="I1068" s="7" t="str">
        <x:v>https://flo.uri.sh/visualisation/15494950/embed</x:v>
      </x:c>
    </x:row>
    <x:row r="1069" ht="46" customHeight="1">
      <x:c r="A1069" s="8" t="n">
        <x:v>1065</x:v>
      </x:c>
      <x:c r="B1069" s="11" t="str">
        <x:v>Ventura Park</x:v>
      </x:c>
      <x:c r="C1069" s="11" t="str">
        <x:v>Pathway Renovation</x:v>
      </x:c>
      <x:c r="D1069" s="11" t="str">
        <x:v>Internal Pathway/ Sidewalk</x:v>
      </x:c>
      <x:c r="E1069" s="11" t="str">
        <x:v>Replace the damaged pathway, trails and sidewalks that have been rated as 4 and 5 in Pathway assessment</x:v>
      </x:c>
      <x:c r="F1069" s="20" t="n">
        <x:v>128280</x:v>
      </x:c>
      <x:c r="G1069" s="8" t="str">
        <x:v>Paths / access / bridges</x:v>
      </x:c>
      <x:c r="H1069" s="8" t="str">
        <x:v>KGW November 2023 report; estimate dates not supplied</x:v>
      </x:c>
      <x:c r="I1069" s="8" t="str">
        <x:v>https://flo.uri.sh/visualisation/15494950/embed</x:v>
      </x:c>
    </x:row>
    <x:row r="1070" ht="46" customHeight="1">
      <x:c r="A1070" s="7" t="n">
        <x:v>1066</x:v>
      </x:c>
      <x:c r="B1070" s="12" t="str">
        <x:v>Vera Katz Eastbank Esplanade</x:v>
      </x:c>
      <x:c r="C1070" s="12" t="str">
        <x:v>ESPC-III_Pathway Lighting to LEDs</x:v>
      </x:c>
      <x:c r="D1070" s="12" t="str"/>
      <x:c r="E1070" s="12" t="str">
        <x:v>Pathway Lighting Conversion to LEDs and Controls. Aprox: 88 Poles</x:v>
      </x:c>
      <x:c r="F1070" s="21" t="n">
        <x:v>310477</x:v>
      </x:c>
      <x:c r="G1070" s="7" t="str">
        <x:v>Paths / access / bridges</x:v>
      </x:c>
      <x:c r="H1070" s="7" t="str">
        <x:v>KGW November 2023 report; estimate dates not supplied</x:v>
      </x:c>
      <x:c r="I1070" s="7" t="str">
        <x:v>https://flo.uri.sh/visualisation/15494950/embed</x:v>
      </x:c>
    </x:row>
    <x:row r="1071" ht="46" customHeight="1">
      <x:c r="A1071" s="8" t="n">
        <x:v>1067</x:v>
      </x:c>
      <x:c r="B1071" s="11" t="str">
        <x:v>Vera Katz Eastbank Esplanade</x:v>
      </x:c>
      <x:c r="C1071" s="11" t="str">
        <x:v>Pathway Renovation</x:v>
      </x:c>
      <x:c r="D1071" s="11" t="str">
        <x:v>Vera Katz Eastbank Esplanade</x:v>
      </x:c>
      <x:c r="E1071" s="11" t="str">
        <x:v>Replace the damaged pathway, trails and sidewalks that have been rated as 4 and 5 in Pathway assessment</x:v>
      </x:c>
      <x:c r="F1071" s="20" t="n">
        <x:v>279159</x:v>
      </x:c>
      <x:c r="G1071" s="8" t="str">
        <x:v>Paths / access / bridges</x:v>
      </x:c>
      <x:c r="H1071" s="8" t="str">
        <x:v>KGW November 2023 report; estimate dates not supplied</x:v>
      </x:c>
      <x:c r="I1071" s="8" t="str">
        <x:v>https://flo.uri.sh/visualisation/15494950/embed</x:v>
      </x:c>
    </x:row>
    <x:row r="1072" ht="46" customHeight="1">
      <x:c r="A1072" s="7" t="n">
        <x:v>1068</x:v>
      </x:c>
      <x:c r="B1072" s="12" t="str">
        <x:v>Vera Katz Eastbank Esplanade</x:v>
      </x:c>
      <x:c r="C1072" s="12" t="str">
        <x:v>Renovate the walkway and retaining wall near stairwell</x:v>
      </x:c>
      <x:c r="D1072" s="12" t="str">
        <x:v>walkway</x:v>
      </x:c>
      <x:c r="E1072" s="12" t="str">
        <x:v>Crack in walkway slab indicate potential failure in retaining wall which is acting as confine for backfill holding the walkway. The direction of crack indicate the retaining wall is not presenting enough resistance to active forces from backfill and surcharge load, causing settlement in backfill and ultimately failure in concrete walkway. More detail in attached review report</x:v>
      </x:c>
      <x:c r="F1072" s="21" t="n">
        <x:v>218693</x:v>
      </x:c>
      <x:c r="G1072" s="7" t="str">
        <x:v>Paths / access / bridges</x:v>
      </x:c>
      <x:c r="H1072" s="7" t="str">
        <x:v>KGW November 2023 report; estimate dates not supplied</x:v>
      </x:c>
      <x:c r="I1072" s="7" t="str">
        <x:v>https://flo.uri.sh/visualisation/15494950/embed</x:v>
      </x:c>
    </x:row>
    <x:row r="1073" ht="46" customHeight="1">
      <x:c r="A1073" s="8" t="n">
        <x:v>1069</x:v>
      </x:c>
      <x:c r="B1073" s="11" t="str">
        <x:v>Vera Katz Eastbank Esplanade</x:v>
      </x:c>
      <x:c r="C1073" s="11" t="str">
        <x:v>Replace Backflow preventer device</x:v>
      </x:c>
      <x:c r="D1073" s="11" t="str">
        <x:v>Irrigation</x:v>
      </x:c>
      <x:c r="E1073" s="11" t="str">
        <x:v>-Replace out of compliance backflow preventers
- Assembly: Double Check Valve Assembly (DCVA)
- Move to property line, if needed
- Hazard: Flood plain
- See components for detail</x:v>
      </x:c>
      <x:c r="F1073" s="20" t="n">
        <x:v>18000</x:v>
      </x:c>
      <x:c r="G1073" s="8" t="str">
        <x:v>Utilities / lighting / drainage</x:v>
      </x:c>
      <x:c r="H1073" s="8" t="str">
        <x:v>KGW November 2023 report; estimate dates not supplied</x:v>
      </x:c>
      <x:c r="I1073" s="8" t="str">
        <x:v>https://flo.uri.sh/visualisation/15494950/embed</x:v>
      </x:c>
    </x:row>
    <x:row r="1074" ht="46" customHeight="1">
      <x:c r="A1074" s="7" t="n">
        <x:v>1070</x:v>
      </x:c>
      <x:c r="B1074" s="12" t="str">
        <x:v>Verdell Burdine Rutherford Park</x:v>
      </x:c>
      <x:c r="C1074" s="12" t="str">
        <x:v>Renovate irrigation at PPS Sports field</x:v>
      </x:c>
      <x:c r="D1074" s="12" t="str">
        <x:v>school</x:v>
      </x:c>
      <x:c r="E1074" s="12" t="str">
        <x:v>Replaces CIP 2291, projects we split out by site.
Lynchview Elementary School</x:v>
      </x:c>
      <x:c r="F1074" s="21" t="n">
        <x:v>89295</x:v>
      </x:c>
      <x:c r="G1074" s="7" t="str">
        <x:v>Fields / courts / play</x:v>
      </x:c>
      <x:c r="H1074" s="7" t="str">
        <x:v>KGW November 2023 report; estimate dates not supplied</x:v>
      </x:c>
      <x:c r="I1074" s="7" t="str">
        <x:v>https://flo.uri.sh/visualisation/15494950/embed</x:v>
      </x:c>
    </x:row>
    <x:row r="1075" ht="46" customHeight="1">
      <x:c r="A1075" s="8" t="n">
        <x:v>1071</x:v>
      </x:c>
      <x:c r="B1075" s="11" t="str">
        <x:v>Verdell Burdine Rutherford Park</x:v>
      </x:c>
      <x:c r="C1075" s="11" t="str">
        <x:v>ESPC-III_Pathway Lighting to LEDs</x:v>
      </x:c>
      <x:c r="D1075" s="11" t="str"/>
      <x:c r="E1075" s="11" t="str">
        <x:v>Pathway Lighting Conversion to LEDs and Controls. Aprox: 7 Poles</x:v>
      </x:c>
      <x:c r="F1075" s="20" t="n">
        <x:v>24697</x:v>
      </x:c>
      <x:c r="G1075" s="8" t="str">
        <x:v>Paths / access / bridges</x:v>
      </x:c>
      <x:c r="H1075" s="8" t="str">
        <x:v>KGW November 2023 report; estimate dates not supplied</x:v>
      </x:c>
      <x:c r="I1075" s="8" t="str">
        <x:v>https://flo.uri.sh/visualisation/15494950/embed</x:v>
      </x:c>
    </x:row>
    <x:row r="1076" ht="46" customHeight="1">
      <x:c r="A1076" s="7" t="n">
        <x:v>1072</x:v>
      </x:c>
      <x:c r="B1076" s="12" t="str">
        <x:v>Veterans Creek Natural Area</x:v>
      </x:c>
      <x:c r="C1076" s="12" t="str">
        <x:v>Ecological Restoration_ Veterans Creek Natural Area</x:v>
      </x:c>
      <x:c r="D1076" s="12" t="str"/>
      <x:c r="E1076" s="12" t="str">
        <x:v>Placholder for Ecological health restoration</x:v>
      </x:c>
      <x:c r="F1076" s="21" t="n">
        <x:v>147006</x:v>
      </x:c>
      <x:c r="G1076" s="7" t="str">
        <x:v>Other site infrastructure</x:v>
      </x:c>
      <x:c r="H1076" s="7" t="str">
        <x:v>KGW November 2023 report; estimate dates not supplied</x:v>
      </x:c>
      <x:c r="I1076" s="7" t="str">
        <x:v>https://flo.uri.sh/visualisation/15494950/embed</x:v>
      </x:c>
    </x:row>
    <x:row r="1077" ht="46" customHeight="1">
      <x:c r="A1077" s="8" t="n">
        <x:v>1073</x:v>
      </x:c>
      <x:c r="B1077" s="11" t="str">
        <x:v>Wahoo Creek Natural Area</x:v>
      </x:c>
      <x:c r="C1077" s="11" t="str">
        <x:v>Ecological Restoration_ Wahoo Creek Natural Area</x:v>
      </x:c>
      <x:c r="D1077" s="11" t="str"/>
      <x:c r="E1077" s="11" t="str">
        <x:v>Placholder for Ecological health restoration</x:v>
      </x:c>
      <x:c r="F1077" s="20" t="n">
        <x:v>147006</x:v>
      </x:c>
      <x:c r="G1077" s="8" t="str">
        <x:v>Other site infrastructure</x:v>
      </x:c>
      <x:c r="H1077" s="8" t="str">
        <x:v>KGW November 2023 report; estimate dates not supplied</x:v>
      </x:c>
      <x:c r="I1077" s="8" t="str">
        <x:v>https://flo.uri.sh/visualisation/15494950/embed</x:v>
      </x:c>
    </x:row>
    <x:row r="1078" ht="46" customHeight="1">
      <x:c r="A1078" s="7" t="n">
        <x:v>1074</x:v>
      </x:c>
      <x:c r="B1078" s="12" t="str">
        <x:v>Wallace Park</x:v>
      </x:c>
      <x:c r="C1078" s="12" t="str">
        <x:v>Replace sewer line of restroom</x:v>
      </x:c>
      <x:c r="D1078" s="12" t="str">
        <x:v>Wallace Park</x:v>
      </x:c>
      <x:c r="E1078" s="12" t="str">
        <x:v>Replace sewer line from Bathrooms to the street connection. Approximately 25,000 dollars.  Questions Darryl Brooks or Jennifer Trimm.</x:v>
      </x:c>
      <x:c r="F1078" s="21" t="n">
        <x:v>88204</x:v>
      </x:c>
      <x:c r="G1078" s="7" t="str">
        <x:v>Utilities / lighting / drainage</x:v>
      </x:c>
      <x:c r="H1078" s="7" t="str">
        <x:v>KGW November 2023 report; estimate dates not supplied</x:v>
      </x:c>
      <x:c r="I1078" s="7" t="str">
        <x:v>https://flo.uri.sh/visualisation/15494950/embed</x:v>
      </x:c>
    </x:row>
    <x:row r="1079" ht="46" customHeight="1">
      <x:c r="A1079" s="8" t="n">
        <x:v>1075</x:v>
      </x:c>
      <x:c r="B1079" s="11" t="str">
        <x:v>Wallace Park</x:v>
      </x:c>
      <x:c r="C1079" s="11" t="str">
        <x:v>ESPC-II_ Wallace Park</x:v>
      </x:c>
      <x:c r="D1079" s="11" t="str"/>
      <x:c r="E1079" s="11" t="str">
        <x:v>Install a GE control node on each pathway light fixture.  Node for parks with &lt;50 fixtures will be model #ELWM18BXXXXAD.  Node for parks with &gt;50 fixtures will be model #ELWN08BXXXXAD.. FIM Name: 09.17-0839 Building Exterior Lighting Controls</x:v>
      </x:c>
      <x:c r="F1079" s="20" t="n">
        <x:v>733</x:v>
      </x:c>
      <x:c r="G1079" s="8" t="str">
        <x:v>Buildings / building systems</x:v>
      </x:c>
      <x:c r="H1079" s="8" t="str">
        <x:v>KGW November 2023 report; estimate dates not supplied</x:v>
      </x:c>
      <x:c r="I1079" s="8" t="str">
        <x:v>https://flo.uri.sh/visualisation/15494950/embed</x:v>
      </x:c>
    </x:row>
    <x:row r="1080" ht="46" customHeight="1">
      <x:c r="A1080" s="7" t="n">
        <x:v>1076</x:v>
      </x:c>
      <x:c r="B1080" s="12" t="str">
        <x:v>Wallace Park</x:v>
      </x:c>
      <x:c r="C1080" s="12" t="str">
        <x:v>Pathway Renovation</x:v>
      </x:c>
      <x:c r="D1080" s="12" t="str">
        <x:v>Internal Pathway/ Sidewalk</x:v>
      </x:c>
      <x:c r="E1080" s="12" t="str">
        <x:v>Replace the damaged pathway, trails and sidewalks that have been rated as 4 and 5 in Pathway assessment</x:v>
      </x:c>
      <x:c r="F1080" s="21" t="n">
        <x:v>68778</x:v>
      </x:c>
      <x:c r="G1080" s="7" t="str">
        <x:v>Paths / access / bridges</x:v>
      </x:c>
      <x:c r="H1080" s="7" t="str">
        <x:v>KGW November 2023 report; estimate dates not supplied</x:v>
      </x:c>
      <x:c r="I1080" s="7" t="str">
        <x:v>https://flo.uri.sh/visualisation/15494950/embed</x:v>
      </x:c>
    </x:row>
    <x:row r="1081" ht="46" customHeight="1">
      <x:c r="A1081" s="8" t="n">
        <x:v>1077</x:v>
      </x:c>
      <x:c r="B1081" s="11" t="str">
        <x:v>Wallace Park</x:v>
      </x:c>
      <x:c r="C1081" s="11" t="str">
        <x:v>Wallace Pk Drainage @ Playground</x:v>
      </x:c>
      <x:c r="D1081" s="11" t="str">
        <x:v>Wallace Park</x:v>
      </x:c>
      <x:c r="E1081" s="11" t="str">
        <x:v>The play structure is sinking and deteriorating due to poor drainage.  Move equipment to new area with proper drainage due to water running off hillside into current play area.</x:v>
      </x:c>
      <x:c r="F1081" s="20" t="n">
        <x:v>638922</x:v>
      </x:c>
      <x:c r="G1081" s="8" t="str">
        <x:v>Fields / courts / play</x:v>
      </x:c>
      <x:c r="H1081" s="8" t="str">
        <x:v>KGW November 2023 report; estimate dates not supplied</x:v>
      </x:c>
      <x:c r="I1081" s="8" t="str">
        <x:v>https://flo.uri.sh/visualisation/15494950/embed</x:v>
      </x:c>
    </x:row>
    <x:row r="1082" ht="46" customHeight="1">
      <x:c r="A1082" s="7" t="n">
        <x:v>1078</x:v>
      </x:c>
      <x:c r="B1082" s="12" t="str">
        <x:v>Wallace Park</x:v>
      </x:c>
      <x:c r="C1082" s="12" t="str">
        <x:v>ESPC-II_ Wallace Park</x:v>
      </x:c>
      <x:c r="D1082" s="12" t="str"/>
      <x:c r="E1082" s="12" t="str">
        <x:v>Convert existing lighting to LED technology via a re-lamp approach.. FIM Name: 09.06-0839 Building Interior Lighting LED Conversion</x:v>
      </x:c>
      <x:c r="F1082" s="21" t="n">
        <x:v>525</x:v>
      </x:c>
      <x:c r="G1082" s="7" t="str">
        <x:v>Buildings / building systems</x:v>
      </x:c>
      <x:c r="H1082" s="7" t="str">
        <x:v>KGW November 2023 report; estimate dates not supplied</x:v>
      </x:c>
      <x:c r="I1082" s="7" t="str">
        <x:v>https://flo.uri.sh/visualisation/15494950/embed</x:v>
      </x:c>
    </x:row>
    <x:row r="1083" ht="46" customHeight="1">
      <x:c r="A1083" s="8" t="n">
        <x:v>1079</x:v>
      </x:c>
      <x:c r="B1083" s="11" t="str">
        <x:v>Wallace Park</x:v>
      </x:c>
      <x:c r="C1083" s="11" t="str">
        <x:v>ESPC-II_ Wallace Park</x:v>
      </x:c>
      <x:c r="D1083" s="11" t="str"/>
      <x:c r="E1083" s="11" t="str">
        <x:v>Wallace Park - Retro commission all irrigation sprinkler systems and heads to ensure proper thrown and timing. Replace 10% of all rotary and spray heads.. FIM Name: 18.10-0839 Irrigation System Improvements</x:v>
      </x:c>
      <x:c r="F1083" s="20" t="n">
        <x:v>4233</x:v>
      </x:c>
      <x:c r="G1083" s="8" t="str">
        <x:v>Utilities / lighting / drainage</x:v>
      </x:c>
      <x:c r="H1083" s="8" t="str">
        <x:v>KGW November 2023 report; estimate dates not supplied</x:v>
      </x:c>
      <x:c r="I1083" s="8" t="str">
        <x:v>https://flo.uri.sh/visualisation/15494950/embed</x:v>
      </x:c>
    </x:row>
    <x:row r="1084" ht="46" customHeight="1">
      <x:c r="A1084" s="7" t="n">
        <x:v>1080</x:v>
      </x:c>
      <x:c r="B1084" s="12" t="str">
        <x:v>Wallace Park</x:v>
      </x:c>
      <x:c r="C1084" s="12" t="str">
        <x:v>Playground renovation</x:v>
      </x:c>
      <x:c r="D1084" s="12" t="str">
        <x:v>Play Area A</x:v>
      </x:c>
      <x:c r="E1084" s="12" t="str">
        <x:v>Renovation or repair playground that was rated as 4
 during playground assessment in 2020</x:v>
      </x:c>
      <x:c r="F1084" s="21" t="n">
        <x:v>313955</x:v>
      </x:c>
      <x:c r="G1084" s="7" t="str">
        <x:v>Fields / courts / play</x:v>
      </x:c>
      <x:c r="H1084" s="7" t="str">
        <x:v>KGW November 2023 report; estimate dates not supplied</x:v>
      </x:c>
      <x:c r="I1084" s="7" t="str">
        <x:v>https://flo.uri.sh/visualisation/15494950/embed</x:v>
      </x:c>
    </x:row>
    <x:row r="1085" ht="46" customHeight="1">
      <x:c r="A1085" s="8" t="n">
        <x:v>1081</x:v>
      </x:c>
      <x:c r="B1085" s="11" t="str">
        <x:v>Wallace Park</x:v>
      </x:c>
      <x:c r="C1085" s="11" t="str">
        <x:v>Improve lighting</x:v>
      </x:c>
      <x:c r="D1085" s="11" t="str">
        <x:v>Wallace Park</x:v>
      </x:c>
      <x:c r="E1085" s="11" t="str">
        <x:v>Improve lighting.  Replaces CIP 1970, projects were split out.</x:v>
      </x:c>
      <x:c r="F1085" s="20" t="n">
        <x:v>22376</x:v>
      </x:c>
      <x:c r="G1085" s="8" t="str">
        <x:v>Utilities / lighting / drainage</x:v>
      </x:c>
      <x:c r="H1085" s="8" t="str">
        <x:v>KGW November 2023 report; estimate dates not supplied</x:v>
      </x:c>
      <x:c r="I1085" s="8" t="str">
        <x:v>https://flo.uri.sh/visualisation/15494950/embed</x:v>
      </x:c>
    </x:row>
    <x:row r="1086" ht="46" customHeight="1">
      <x:c r="A1086" s="7" t="n">
        <x:v>1082</x:v>
      </x:c>
      <x:c r="B1086" s="12" t="str">
        <x:v>Wallace Park</x:v>
      </x:c>
      <x:c r="C1086" s="12" t="str">
        <x:v>Renovation of tennis courts</x:v>
      </x:c>
      <x:c r="D1086" s="12" t="str">
        <x:v>Wallace Park</x:v>
      </x:c>
      <x:c r="E1086" s="12" t="str">
        <x:v>Rebuild and resurface 2 courts; add 2 benches. Priority 1</x:v>
      </x:c>
      <x:c r="F1086" s="21" t="n">
        <x:v>218279</x:v>
      </x:c>
      <x:c r="G1086" s="7" t="str">
        <x:v>Fields / courts / play</x:v>
      </x:c>
      <x:c r="H1086" s="7" t="str">
        <x:v>KGW November 2023 report; estimate dates not supplied</x:v>
      </x:c>
      <x:c r="I1086" s="7" t="str">
        <x:v>https://flo.uri.sh/visualisation/15494950/embed</x:v>
      </x:c>
    </x:row>
    <x:row r="1087" ht="46" customHeight="1">
      <x:c r="A1087" s="8" t="n">
        <x:v>1083</x:v>
      </x:c>
      <x:c r="B1087" s="11" t="str">
        <x:v>Wallace Park</x:v>
      </x:c>
      <x:c r="C1087" s="11" t="str">
        <x:v>Change light poles base connection</x:v>
      </x:c>
      <x:c r="D1087" s="11" t="str">
        <x:v>Light poles</x:v>
      </x:c>
      <x:c r="E1087"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6 approximately with estimated cost $3000/ pole.</x:v>
      </x:c>
      <x:c r="F1087" s="20" t="n">
        <x:v>18360</x:v>
      </x:c>
      <x:c r="G1087" s="8" t="str">
        <x:v>Utilities / lighting / drainage</x:v>
      </x:c>
      <x:c r="H1087" s="8" t="str">
        <x:v>KGW November 2023 report; estimate dates not supplied</x:v>
      </x:c>
      <x:c r="I1087" s="8" t="str">
        <x:v>https://flo.uri.sh/visualisation/15494950/embed</x:v>
      </x:c>
    </x:row>
    <x:row r="1088" ht="46" customHeight="1">
      <x:c r="A1088" s="7" t="n">
        <x:v>1084</x:v>
      </x:c>
      <x:c r="B1088" s="12" t="str">
        <x:v>Wallace Park</x:v>
      </x:c>
      <x:c r="C1088" s="12" t="str">
        <x:v>ESPC-II_ Wallace Park</x:v>
      </x:c>
      <x:c r="D1088" s="12" t="str"/>
      <x:c r="E1088" s="12" t="str">
        <x:v>Convert existing lighting to LED technology via a re-lamp approach.. FIM Name: 09.07-0839 Building Exterior Lighting LED Conversion</x:v>
      </x:c>
      <x:c r="F1088" s="21" t="n">
        <x:v>169</x:v>
      </x:c>
      <x:c r="G1088" s="7" t="str">
        <x:v>Buildings / building systems</x:v>
      </x:c>
      <x:c r="H1088" s="7" t="str">
        <x:v>KGW November 2023 report; estimate dates not supplied</x:v>
      </x:c>
      <x:c r="I1088" s="7" t="str">
        <x:v>https://flo.uri.sh/visualisation/15494950/embed</x:v>
      </x:c>
    </x:row>
    <x:row r="1089" ht="46" customHeight="1">
      <x:c r="A1089" s="8" t="n">
        <x:v>1085</x:v>
      </x:c>
      <x:c r="B1089" s="11" t="str">
        <x:v>Wallace Park</x:v>
      </x:c>
      <x:c r="C1089" s="11" t="str">
        <x:v>Renovate the Structure of Shelter - Restroom building</x:v>
      </x:c>
      <x:c r="D1089" s="11" t="str">
        <x:v>Restroom A</x:v>
      </x:c>
      <x:c r="E1089" s="11" t="str">
        <x:v>Fix or replace the Structure that is rated 4 through buildings' assessment</x:v>
      </x:c>
      <x:c r="F1089" s="20" t="n">
        <x:v>141041</x:v>
      </x:c>
      <x:c r="G1089" s="8" t="str">
        <x:v>Buildings / building systems</x:v>
      </x:c>
      <x:c r="H1089" s="8" t="str">
        <x:v>KGW November 2023 report; estimate dates not supplied</x:v>
      </x:c>
      <x:c r="I1089" s="8" t="str">
        <x:v>https://flo.uri.sh/visualisation/15494950/embed</x:v>
      </x:c>
    </x:row>
    <x:row r="1090" ht="46" customHeight="1">
      <x:c r="A1090" s="7" t="n">
        <x:v>1086</x:v>
      </x:c>
      <x:c r="B1090" s="12" t="str">
        <x:v>Washington High School Property</x:v>
      </x:c>
      <x:c r="C1090" s="12" t="str">
        <x:v>Replace failing sidewalk</x:v>
      </x:c>
      <x:c r="D1090" s="12" t="str"/>
      <x:c r="E1090" s="12" t="str">
        <x:v>Please repair and/or replace sidewalk. Many trip hazards</x:v>
      </x:c>
      <x:c r="F1090" s="21" t="n">
        <x:v>62484</x:v>
      </x:c>
      <x:c r="G1090" s="7" t="str">
        <x:v>Paths / access / bridges</x:v>
      </x:c>
      <x:c r="H1090" s="7" t="str">
        <x:v>KGW November 2023 report; estimate dates not supplied</x:v>
      </x:c>
      <x:c r="I1090" s="7" t="str">
        <x:v>https://flo.uri.sh/visualisation/15494950/embed</x:v>
      </x:c>
    </x:row>
    <x:row r="1091" ht="46" customHeight="1">
      <x:c r="A1091" s="8" t="n">
        <x:v>1087</x:v>
      </x:c>
      <x:c r="B1091" s="11" t="str">
        <x:v>Washington High School Property</x:v>
      </x:c>
      <x:c r="C1091" s="11" t="str">
        <x:v>Renovate parking lot_Parking Area A</x:v>
      </x:c>
      <x:c r="D1091" s="11" t="str">
        <x:v>Parking Area A</x:v>
      </x:c>
      <x:c r="E1091" s="11" t="str">
        <x:v>Repair parking lot that was rated 4 in condition assessment. Repair include surface, drainage and curb. approx area= 25112 sq.ft</x:v>
      </x:c>
      <x:c r="F1091" s="20" t="n">
        <x:v>410587</x:v>
      </x:c>
      <x:c r="G1091" s="8" t="str">
        <x:v>Utilities / lighting / drainage</x:v>
      </x:c>
      <x:c r="H1091" s="8" t="str">
        <x:v>KGW November 2023 report; estimate dates not supplied</x:v>
      </x:c>
      <x:c r="I1091" s="8" t="str">
        <x:v>https://flo.uri.sh/visualisation/15494950/embed</x:v>
      </x:c>
    </x:row>
    <x:row r="1092" ht="46" customHeight="1">
      <x:c r="A1092" s="7" t="n">
        <x:v>1088</x:v>
      </x:c>
      <x:c r="B1092" s="12" t="str">
        <x:v>Washington Park</x:v>
      </x:c>
      <x:c r="C1092" s="12" t="str">
        <x:v>Playground and Recreation Improvements</x:v>
      </x:c>
      <x:c r="D1092" s="12" t="str">
        <x:v>Washington Park</x:v>
      </x:c>
      <x:c r="E1092" s="12" t="str">
        <x:v>Forest Canopy Walk,</x:v>
      </x:c>
      <x:c r="F1092" s="21" t="n">
        <x:v>9594648</x:v>
      </x:c>
      <x:c r="G1092" s="7" t="str">
        <x:v>Paths / access / bridges</x:v>
      </x:c>
      <x:c r="H1092" s="7" t="str">
        <x:v>KGW November 2023 report; estimate dates not supplied</x:v>
      </x:c>
      <x:c r="I1092" s="7" t="str">
        <x:v>https://flo.uri.sh/visualisation/15494950/embed</x:v>
      </x:c>
    </x:row>
    <x:row r="1093" ht="46" customHeight="1">
      <x:c r="A1093" s="8" t="n">
        <x:v>1089</x:v>
      </x:c>
      <x:c r="B1093" s="11" t="str">
        <x:v>Washington Park</x:v>
      </x:c>
      <x:c r="C1093" s="11" t="str">
        <x:v>Visitor Centers, Plaza Improvements, Food</x:v>
      </x:c>
      <x:c r="D1093" s="11" t="str">
        <x:v>Washington Park</x:v>
      </x:c>
      <x:c r="E1093" s="11" t="str">
        <x:v>Hoyt Center improvements, W. Burnside Gateway, Zoo entry court, South entry visitor center, Depot Café, Rose Garden Interim Visitor Center, Rose Garden Plaza</x:v>
      </x:c>
      <x:c r="F1093" s="20" t="n">
        <x:v>7459839</x:v>
      </x:c>
      <x:c r="G1093" s="8" t="str">
        <x:v>Fields / courts / play</x:v>
      </x:c>
      <x:c r="H1093" s="8" t="str">
        <x:v>KGW November 2023 report; estimate dates not supplied</x:v>
      </x:c>
      <x:c r="I1093" s="8" t="str">
        <x:v>https://flo.uri.sh/visualisation/15494950/embed</x:v>
      </x:c>
    </x:row>
    <x:row r="1094" ht="46" customHeight="1">
      <x:c r="A1094" s="7" t="n">
        <x:v>1090</x:v>
      </x:c>
      <x:c r="B1094" s="12" t="str">
        <x:v>Washington Park</x:v>
      </x:c>
      <x:c r="C1094" s="12" t="str">
        <x:v>Decomposing of stairs</x:v>
      </x:c>
      <x:c r="D1094" s="12" t="str">
        <x:v>Washington Park</x:v>
      </x:c>
      <x:c r="E1094" s="12" t="str">
        <x:v>The stairs from the bear house to W Burnside St. is in very bad condition. They need to decompose as there is alternative way from bear house to W Burnside St.</x:v>
      </x:c>
      <x:c r="F1094" s="21" t="n">
        <x:v>65963</x:v>
      </x:c>
      <x:c r="G1094" s="7" t="str">
        <x:v>Buildings / building systems</x:v>
      </x:c>
      <x:c r="H1094" s="7" t="str">
        <x:v>KGW November 2023 report; estimate dates not supplied</x:v>
      </x:c>
      <x:c r="I1094" s="7" t="str">
        <x:v>https://flo.uri.sh/visualisation/15494950/embed</x:v>
      </x:c>
    </x:row>
    <x:row r="1095" ht="46" customHeight="1">
      <x:c r="A1095" s="8" t="n">
        <x:v>1091</x:v>
      </x:c>
      <x:c r="B1095" s="11" t="str">
        <x:v>Washington Park</x:v>
      </x:c>
      <x:c r="C1095" s="11" t="str">
        <x:v>Playground A Repair</x:v>
      </x:c>
      <x:c r="D1095" s="11" t="str">
        <x:v>Washington Park</x:v>
      </x:c>
      <x:c r="E1095" s="11" t="str">
        <x:v>Near Elephant House:
- Removal and replacement of existing Wildwood play structures near elephant house.  
- Wildwood play equipment is no longer manufactured.  Structures have outlived their useful life. 
- Remove large areas of concrete and rubber surfacing, expand play area footprint. 
- Playground Surface Area, tile surfacing- rubber tiles have reached the end of their lifespan. Large gaps and edges starting to lift all over playground area. This is creating trip hazards. 
- Plastic spinner metal alphabet tabs coming loose creating a hazard
Note that these improvements could trigger the requirement to bring other aspects of the park up to ADA.</x:v>
      </x:c>
      <x:c r="F1095" s="20" t="n">
        <x:v>58802</x:v>
      </x:c>
      <x:c r="G1095" s="8" t="str">
        <x:v>Buildings / building systems</x:v>
      </x:c>
      <x:c r="H1095" s="8" t="str">
        <x:v>KGW November 2023 report; estimate dates not supplied</x:v>
      </x:c>
      <x:c r="I1095" s="8" t="str">
        <x:v>https://flo.uri.sh/visualisation/15494950/embed</x:v>
      </x:c>
    </x:row>
    <x:row r="1096" ht="46" customHeight="1">
      <x:c r="A1096" s="7" t="n">
        <x:v>1092</x:v>
      </x:c>
      <x:c r="B1096" s="12" t="str">
        <x:v>Washington Park</x:v>
      </x:c>
      <x:c r="C1096" s="12" t="str">
        <x:v>Replace Elephant  Barn Roof</x:v>
      </x:c>
      <x:c r="D1096" s="12" t="str">
        <x:v>Washington Park</x:v>
      </x:c>
      <x:c r="E1096" s="12" t="str">
        <x:v>- Roof is leaking and deteriorated.
- The soffit and facer boards on the southwest corner show signs of rotting and may need to be replaced.
- The roof need to replace</x:v>
      </x:c>
      <x:c r="F1096" s="21" t="n">
        <x:v>529222</x:v>
      </x:c>
      <x:c r="G1096" s="7" t="str">
        <x:v>Buildings / building systems</x:v>
      </x:c>
      <x:c r="H1096" s="7" t="str">
        <x:v>KGW November 2023 report; estimate dates not supplied</x:v>
      </x:c>
      <x:c r="I1096" s="7" t="str">
        <x:v>https://flo.uri.sh/visualisation/15494950/embed</x:v>
      </x:c>
    </x:row>
    <x:row r="1097" ht="46" customHeight="1">
      <x:c r="A1097" s="8" t="n">
        <x:v>1093</x:v>
      </x:c>
      <x:c r="B1097" s="11" t="str">
        <x:v>Washington Park</x:v>
      </x:c>
      <x:c r="C1097" s="11" t="str">
        <x:v>Automatic ceiling sprinklers- Children Museum</x:v>
      </x:c>
      <x:c r="D1097" s="11" t="str">
        <x:v>Children Museum</x:v>
      </x:c>
      <x:c r="E1097" s="11" t="str">
        <x:v>Improve and provide Sprinkler system to chidlen museum as below:
- Provide automatic ceiling sprinklers in the "Fish Bowl" section of the building per the City's property insurer, FM Global.
- Provide automatic sprinklers for the unprotected concealed spaces per the City's property insurer, FM Global.
-Improve seismic bracing on the automatic sprinkler system per the City's property insurer, FM Global.</x:v>
      </x:c>
      <x:c r="F1097" s="20" t="n">
        <x:v>47042</x:v>
      </x:c>
      <x:c r="G1097" s="8" t="str">
        <x:v>Buildings / building systems</x:v>
      </x:c>
      <x:c r="H1097" s="8" t="str">
        <x:v>KGW November 2023 report; estimate dates not supplied</x:v>
      </x:c>
      <x:c r="I1097" s="8" t="str">
        <x:v>https://flo.uri.sh/visualisation/15494950/embed</x:v>
      </x:c>
    </x:row>
    <x:row r="1098" ht="46" customHeight="1">
      <x:c r="A1098" s="7" t="n">
        <x:v>1094</x:v>
      </x:c>
      <x:c r="B1098" s="12" t="str">
        <x:v>Washington Park</x:v>
      </x:c>
      <x:c r="C1098" s="12" t="str">
        <x:v>Install new evaporator</x:v>
      </x:c>
      <x:c r="D1098" s="12" t="str">
        <x:v>Washington Park</x:v>
      </x:c>
      <x:c r="E1098" s="12" t="str">
        <x:v>Furnish and install new evaporator on 30RAN chiller #2. Recharge both circuits to factory specs.</x:v>
      </x:c>
      <x:c r="F1098" s="21" t="n">
        <x:v>45575</x:v>
      </x:c>
      <x:c r="G1098" s="7" t="str">
        <x:v>Other site infrastructure</x:v>
      </x:c>
      <x:c r="H1098" s="7" t="str">
        <x:v>KGW November 2023 report; estimate dates not supplied</x:v>
      </x:c>
      <x:c r="I1098" s="7" t="str">
        <x:v>https://flo.uri.sh/visualisation/15494950/embed</x:v>
      </x:c>
    </x:row>
    <x:row r="1099" ht="46" customHeight="1">
      <x:c r="A1099" s="8" t="n">
        <x:v>1095</x:v>
      </x:c>
      <x:c r="B1099" s="11" t="str">
        <x:v>Washington Park</x:v>
      </x:c>
      <x:c r="C1099" s="11" t="str">
        <x:v>Repair the gutters of restroom C</x:v>
      </x:c>
      <x:c r="D1099" s="11" t="str">
        <x:v>Washington Park</x:v>
      </x:c>
      <x:c r="E1099" s="11" t="str">
        <x:v>Repair the gutters of Men's and women's bathroom. They are leaking inside the restrooms</x:v>
      </x:c>
      <x:c r="F1099" s="20" t="n">
        <x:v>41977</x:v>
      </x:c>
      <x:c r="G1099" s="8" t="str">
        <x:v>Other site infrastructure</x:v>
      </x:c>
      <x:c r="H1099" s="8" t="str">
        <x:v>KGW November 2023 report; estimate dates not supplied</x:v>
      </x:c>
      <x:c r="I1099" s="8" t="str">
        <x:v>https://flo.uri.sh/visualisation/15494950/embed</x:v>
      </x:c>
    </x:row>
    <x:row r="1100" ht="46" customHeight="1">
      <x:c r="A1100" s="7" t="n">
        <x:v>1096</x:v>
      </x:c>
      <x:c r="B1100" s="12" t="str">
        <x:v>Washington Park</x:v>
      </x:c>
      <x:c r="C1100" s="12" t="str">
        <x:v>Ecological Improvements</x:v>
      </x:c>
      <x:c r="D1100" s="12" t="str">
        <x:v>Washington Park</x:v>
      </x:c>
      <x:c r="E1100" s="12" t="str">
        <x:v>Invasive Species Removal - replanting</x:v>
      </x:c>
      <x:c r="F1100" s="21" t="n">
        <x:v>359799</x:v>
      </x:c>
      <x:c r="G1100" s="7" t="str">
        <x:v>Other site infrastructure</x:v>
      </x:c>
      <x:c r="H1100" s="7" t="str">
        <x:v>KGW November 2023 report; estimate dates not supplied</x:v>
      </x:c>
      <x:c r="I1100" s="7" t="str">
        <x:v>https://flo.uri.sh/visualisation/15494950/embed</x:v>
      </x:c>
    </x:row>
    <x:row r="1101" ht="46" customHeight="1">
      <x:c r="A1101" s="8" t="n">
        <x:v>1097</x:v>
      </x:c>
      <x:c r="B1101" s="11" t="str">
        <x:v>Washington Park</x:v>
      </x:c>
      <x:c r="C1101" s="11" t="str">
        <x:v>Playground renovation</x:v>
      </x:c>
      <x:c r="D1101" s="11" t="str">
        <x:v>Play Area A</x:v>
      </x:c>
      <x:c r="E1101" s="11" t="str">
        <x:v>Renovation or repair playground that was rated as 4
 during playground assessment in 2020</x:v>
      </x:c>
      <x:c r="F1101" s="20" t="n">
        <x:v>328039</x:v>
      </x:c>
      <x:c r="G1101" s="8" t="str">
        <x:v>Fields / courts / play</x:v>
      </x:c>
      <x:c r="H1101" s="8" t="str">
        <x:v>KGW November 2023 report; estimate dates not supplied</x:v>
      </x:c>
      <x:c r="I1101" s="8" t="str">
        <x:v>https://flo.uri.sh/visualisation/15494950/embed</x:v>
      </x:c>
    </x:row>
    <x:row r="1102" ht="46" customHeight="1">
      <x:c r="A1102" s="7" t="n">
        <x:v>1098</x:v>
      </x:c>
      <x:c r="B1102" s="12" t="str">
        <x:v>Washington Park</x:v>
      </x:c>
      <x:c r="C1102" s="12" t="str">
        <x:v>Gold Medal Garden Path Repair</x:v>
      </x:c>
      <x:c r="D1102" s="12" t="str">
        <x:v>Washington Park - International Rose Test Garden</x:v>
      </x:c>
      <x:c r="E1102" s="12" t="str">
        <x:v>pave new perimeter path to prevent mud and dirt footpaths toward the exterior of the Gold Medal Garden</x:v>
      </x:c>
      <x:c r="F1102" s="21" t="n">
        <x:v>320831</x:v>
      </x:c>
      <x:c r="G1102" s="7" t="str">
        <x:v>Paths / access / bridges</x:v>
      </x:c>
      <x:c r="H1102" s="7" t="str">
        <x:v>KGW November 2023 report; estimate dates not supplied</x:v>
      </x:c>
      <x:c r="I1102" s="7" t="str">
        <x:v>https://flo.uri.sh/visualisation/15494950/embed</x:v>
      </x:c>
    </x:row>
    <x:row r="1103" ht="46" customHeight="1">
      <x:c r="A1103" s="8" t="n">
        <x:v>1099</x:v>
      </x:c>
      <x:c r="B1103" s="11" t="str">
        <x:v>Washington Park</x:v>
      </x:c>
      <x:c r="C1103" s="11" t="str">
        <x:v>Pathway Gutters</x:v>
      </x:c>
      <x:c r="D1103" s="11" t="str">
        <x:v>Washington Park</x:v>
      </x:c>
      <x:c r="E1103" s="11" t="str">
        <x:v>Rebuild gutters along pedestrian path from North Restroom to Burnside.</x:v>
      </x:c>
      <x:c r="F1103" s="20" t="n">
        <x:v>309615</x:v>
      </x:c>
      <x:c r="G1103" s="8" t="str">
        <x:v>Paths / access / bridges</x:v>
      </x:c>
      <x:c r="H1103" s="8" t="str">
        <x:v>KGW November 2023 report; estimate dates not supplied</x:v>
      </x:c>
      <x:c r="I1103" s="8" t="str">
        <x:v>https://flo.uri.sh/visualisation/15494950/embed</x:v>
      </x:c>
    </x:row>
    <x:row r="1104" ht="46" customHeight="1">
      <x:c r="A1104" s="7" t="n">
        <x:v>1100</x:v>
      </x:c>
      <x:c r="B1104" s="12" t="str">
        <x:v>Washington Park</x:v>
      </x:c>
      <x:c r="C1104" s="12" t="str">
        <x:v>Transportation, Parking and Entry Improvements</x:v>
      </x:c>
      <x:c r="D1104" s="12" t="str">
        <x:v>Washington Park</x:v>
      </x:c>
      <x:c r="E1104" s="12" t="str">
        <x:v>New parking lots,</x:v>
      </x:c>
      <x:c r="F1104" s="21" t="n">
        <x:v>3597993</x:v>
      </x:c>
      <x:c r="G1104" s="7" t="str">
        <x:v>Fields / courts / play</x:v>
      </x:c>
      <x:c r="H1104" s="7" t="str">
        <x:v>KGW November 2023 report; estimate dates not supplied</x:v>
      </x:c>
      <x:c r="I1104" s="7" t="str">
        <x:v>https://flo.uri.sh/visualisation/15494950/embed</x:v>
      </x:c>
    </x:row>
    <x:row r="1105" ht="46" customHeight="1">
      <x:c r="A1105" s="8" t="n">
        <x:v>1101</x:v>
      </x:c>
      <x:c r="B1105" s="11" t="str">
        <x:v>Washington Park</x:v>
      </x:c>
      <x:c r="C1105" s="11" t="str">
        <x:v>Seismic protection improvement</x:v>
      </x:c>
      <x:c r="D1105" s="11" t="str">
        <x:v>Portland Childrens Museum</x:v>
      </x:c>
      <x:c r="E1105" s="11" t="str">
        <x:v>Improve seismic bracing on the automatic sprinkler system.</x:v>
      </x:c>
      <x:c r="F1105" s="20" t="n">
        <x:v>29983</x:v>
      </x:c>
      <x:c r="G1105" s="8" t="str">
        <x:v>Buildings / building systems</x:v>
      </x:c>
      <x:c r="H1105" s="8" t="str">
        <x:v>KGW November 2023 report; estimate dates not supplied</x:v>
      </x:c>
      <x:c r="I1105" s="8" t="str">
        <x:v>https://flo.uri.sh/visualisation/15494950/embed</x:v>
      </x:c>
    </x:row>
    <x:row r="1106" ht="46" customHeight="1">
      <x:c r="A1106" s="7" t="n">
        <x:v>1102</x:v>
      </x:c>
      <x:c r="B1106" s="12" t="str">
        <x:v>Washington Park</x:v>
      </x:c>
      <x:c r="C1106" s="12" t="str">
        <x:v>Visitor Centers</x:v>
      </x:c>
      <x:c r="D1106" s="12" t="str">
        <x:v>Washington Park</x:v>
      </x:c>
      <x:c r="E1106" s="12" t="str">
        <x:v>South Entry Garden Plaza, indoor garden, amphitheater upgrades</x:v>
      </x:c>
      <x:c r="F1106" s="21" t="n">
        <x:v>22499450</x:v>
      </x:c>
      <x:c r="G1106" s="7" t="str">
        <x:v>Other site infrastructure</x:v>
      </x:c>
      <x:c r="H1106" s="7" t="str">
        <x:v>KGW November 2023 report; estimate dates not supplied</x:v>
      </x:c>
      <x:c r="I1106" s="7" t="str">
        <x:v>https://flo.uri.sh/visualisation/15494950/embed</x:v>
      </x:c>
    </x:row>
    <x:row r="1107" ht="46" customHeight="1">
      <x:c r="A1107" s="8" t="n">
        <x:v>1103</x:v>
      </x:c>
      <x:c r="B1107" s="11" t="str">
        <x:v>Washington Park</x:v>
      </x:c>
      <x:c r="C1107" s="11" t="str">
        <x:v>Fischer Lane Trailhead for Wildwood Trail Access</x:v>
      </x:c>
      <x:c r="D1107" s="11" t="str"/>
      <x:c r="E1107" s="11" t="str">
        <x:v>- Fischer Lane Trailhead for Wildwood Trail Access (Washington Park Master Plan 2018 Phase 1).
- The project was proposed by staff in October, 2019, and is the next phase of improvements to support the Bridge over Burnside.
- The project is included in the 2018 Washington Park Master Plan</x:v>
      </x:c>
      <x:c r="F1107" s="20" t="n">
        <x:v>2352096</x:v>
      </x:c>
      <x:c r="G1107" s="8" t="str">
        <x:v>Paths / access / bridges</x:v>
      </x:c>
      <x:c r="H1107" s="8" t="str">
        <x:v>KGW November 2023 report; estimate dates not supplied</x:v>
      </x:c>
      <x:c r="I1107" s="8" t="str">
        <x:v>https://flo.uri.sh/visualisation/15494950/embed</x:v>
      </x:c>
    </x:row>
    <x:row r="1108" ht="46" customHeight="1">
      <x:c r="A1108" s="7" t="n">
        <x:v>1104</x:v>
      </x:c>
      <x:c r="B1108" s="12" t="str">
        <x:v>Washington Park</x:v>
      </x:c>
      <x:c r="C1108" s="12" t="str">
        <x:v>Wash Pk Old Maintenance Building Demolished</x:v>
      </x:c>
      <x:c r="D1108" s="12" t="str">
        <x:v>Washington Park</x:v>
      </x:c>
      <x:c r="E1108" s="12" t="str">
        <x:v>Replaces 2355A $ 127,400  Demolish old maintenance building, costs are too high to refurbish existing structure.</x:v>
      </x:c>
      <x:c r="F1108" s="21" t="n">
        <x:v>177042</x:v>
      </x:c>
      <x:c r="G1108" s="7" t="str">
        <x:v>Buildings / building systems</x:v>
      </x:c>
      <x:c r="H1108" s="7" t="str">
        <x:v>KGW November 2023 report; estimate dates not supplied</x:v>
      </x:c>
      <x:c r="I1108" s="7" t="str">
        <x:v>https://flo.uri.sh/visualisation/15494950/embed</x:v>
      </x:c>
    </x:row>
    <x:row r="1109" ht="46" customHeight="1">
      <x:c r="A1109" s="8" t="n">
        <x:v>1105</x:v>
      </x:c>
      <x:c r="B1109" s="11" t="str">
        <x:v>Washington Park</x:v>
      </x:c>
      <x:c r="C1109" s="11" t="str">
        <x:v>Rose garden Sidewalk</x:v>
      </x:c>
      <x:c r="D1109" s="11" t="str">
        <x:v>Washington Park</x:v>
      </x:c>
      <x:c r="E1109" s="11" t="str"/>
      <x:c r="F1109" s="20" t="n">
        <x:v>17641</x:v>
      </x:c>
      <x:c r="G1109" s="8" t="str">
        <x:v>Paths / access / bridges</x:v>
      </x:c>
      <x:c r="H1109" s="8" t="str">
        <x:v>KGW November 2023 report; estimate dates not supplied</x:v>
      </x:c>
      <x:c r="I1109" s="8" t="str">
        <x:v>https://flo.uri.sh/visualisation/15494950/embed</x:v>
      </x:c>
    </x:row>
    <x:row r="1110" ht="46" customHeight="1">
      <x:c r="A1110" s="7" t="n">
        <x:v>1106</x:v>
      </x:c>
      <x:c r="B1110" s="12" t="str">
        <x:v>Washington Park</x:v>
      </x:c>
      <x:c r="C1110" s="12" t="str">
        <x:v>Staff Facility Improvements</x:v>
      </x:c>
      <x:c r="D1110" s="12" t="str">
        <x:v>Washington Park</x:v>
      </x:c>
      <x:c r="E1110" s="12" t="str">
        <x:v>Natural Area Maintenance Facility, current maintenance facilities expansion,  Rose Garden restroom and Curators office upgrade</x:v>
      </x:c>
      <x:c r="F1110" s="21" t="n">
        <x:v>14197681</x:v>
      </x:c>
      <x:c r="G1110" s="7" t="str">
        <x:v>Other site infrastructure</x:v>
      </x:c>
      <x:c r="H1110" s="7" t="str">
        <x:v>KGW November 2023 report; estimate dates not supplied</x:v>
      </x:c>
      <x:c r="I1110" s="7" t="str">
        <x:v>https://flo.uri.sh/visualisation/15494950/embed</x:v>
      </x:c>
    </x:row>
    <x:row r="1111" ht="46" customHeight="1">
      <x:c r="A1111" s="8" t="n">
        <x:v>1107</x:v>
      </x:c>
      <x:c r="B1111" s="11" t="str">
        <x:v>Washington Park</x:v>
      </x:c>
      <x:c r="C1111" s="11" t="str">
        <x:v>Bike Lane in front of the zoo</x:v>
      </x:c>
      <x:c r="D1111" s="11" t="str">
        <x:v>Road</x:v>
      </x:c>
      <x:c r="E1111" s="11" t="str">
        <x:v>Please repair uneven and broken up surface of the bike lane in front of the zoo in PP&amp;R's parking lot.</x:v>
      </x:c>
      <x:c r="F1111" s="20" t="n">
        <x:v>12497</x:v>
      </x:c>
      <x:c r="G1111" s="8" t="str">
        <x:v>Other site infrastructure</x:v>
      </x:c>
      <x:c r="H1111" s="8" t="str">
        <x:v>KGW November 2023 report; estimate dates not supplied</x:v>
      </x:c>
      <x:c r="I1111" s="8" t="str">
        <x:v>https://flo.uri.sh/visualisation/15494950/embed</x:v>
      </x:c>
    </x:row>
    <x:row r="1112" ht="46" customHeight="1">
      <x:c r="A1112" s="7" t="n">
        <x:v>1108</x:v>
      </x:c>
      <x:c r="B1112" s="12" t="str">
        <x:v>Washington Park</x:v>
      </x:c>
      <x:c r="C1112" s="12" t="str">
        <x:v>Reservoir Trail</x:v>
      </x:c>
      <x:c r="D1112" s="12" t="str">
        <x:v>Washington Park</x:v>
      </x:c>
      <x:c r="E1112" s="12" t="str">
        <x:v>Water Bureau contribution $50K toward construction of a soft surface trail connector from the lower portion of SW Sherwood Blvd to the MAC Trail, behind the Rose Garden. (email from Victor Sanders  March 2017)</x:v>
      </x:c>
      <x:c r="F1112" s="21" t="n">
        <x:v>119933</x:v>
      </x:c>
      <x:c r="G1112" s="7" t="str">
        <x:v>Paths / access / bridges</x:v>
      </x:c>
      <x:c r="H1112" s="7" t="str">
        <x:v>KGW November 2023 report; estimate dates not supplied</x:v>
      </x:c>
      <x:c r="I1112" s="7" t="str">
        <x:v>https://flo.uri.sh/visualisation/15494950/embed</x:v>
      </x:c>
    </x:row>
    <x:row r="1113" ht="46" customHeight="1">
      <x:c r="A1113" s="8" t="n">
        <x:v>1109</x:v>
      </x:c>
      <x:c r="B1113" s="11" t="str">
        <x:v>Washington Park</x:v>
      </x:c>
      <x:c r="C1113" s="11" t="str">
        <x:v>Renovate parking lot_Parking Area K</x:v>
      </x:c>
      <x:c r="D1113" s="11" t="str">
        <x:v>Parking Area K</x:v>
      </x:c>
      <x:c r="E1113" s="11" t="str">
        <x:v>Repair parking lot that was rated 5 in condition assessment. Repair include surface, drainage and curb. approx area= 4000 sq.ft</x:v>
      </x:c>
      <x:c r="F1113" s="20" t="n">
        <x:v>115711</x:v>
      </x:c>
      <x:c r="G1113" s="8" t="str">
        <x:v>Utilities / lighting / drainage</x:v>
      </x:c>
      <x:c r="H1113" s="8" t="str">
        <x:v>KGW November 2023 report; estimate dates not supplied</x:v>
      </x:c>
      <x:c r="I1113" s="8" t="str">
        <x:v>https://flo.uri.sh/visualisation/15494950/embed</x:v>
      </x:c>
    </x:row>
    <x:row r="1114" ht="46" customHeight="1">
      <x:c r="A1114" s="7" t="n">
        <x:v>1110</x:v>
      </x:c>
      <x:c r="B1114" s="12" t="str">
        <x:v>Washington Park</x:v>
      </x:c>
      <x:c r="C1114" s="12" t="str">
        <x:v>MAC Trail concrete repair</x:v>
      </x:c>
      <x:c r="D1114" s="12" t="str">
        <x:v>Washington Park</x:v>
      </x:c>
      <x:c r="E1114" s="12" t="str">
        <x:v>Scrape out footprint of MAC Trail concrete repair</x:v>
      </x:c>
      <x:c r="F1114" s="21" t="n">
        <x:v>11760</x:v>
      </x:c>
      <x:c r="G1114" s="7" t="str">
        <x:v>Paths / access / bridges</x:v>
      </x:c>
      <x:c r="H1114" s="7" t="str">
        <x:v>KGW November 2023 report; estimate dates not supplied</x:v>
      </x:c>
      <x:c r="I1114" s="7" t="str">
        <x:v>https://flo.uri.sh/visualisation/15494950/embed</x:v>
      </x:c>
    </x:row>
    <x:row r="1115" ht="46" customHeight="1">
      <x:c r="A1115" s="8" t="n">
        <x:v>1111</x:v>
      </x:c>
      <x:c r="B1115" s="11" t="str">
        <x:v>Washington Park</x:v>
      </x:c>
      <x:c r="C1115" s="11" t="str">
        <x:v>ESPC-III_Buildings Lighting to LEDs</x:v>
      </x:c>
      <x:c r="D1115" s="11" t="str">
        <x:v>Maintenance</x:v>
      </x:c>
      <x:c r="E1115" s="11" t="str">
        <x:v>LED conversion for Exterior and Interior Lights</x:v>
      </x:c>
      <x:c r="F1115" s="20" t="n">
        <x:v>11760</x:v>
      </x:c>
      <x:c r="G1115" s="8" t="str">
        <x:v>Buildings / building systems</x:v>
      </x:c>
      <x:c r="H1115" s="8" t="str">
        <x:v>KGW November 2023 report; estimate dates not supplied</x:v>
      </x:c>
      <x:c r="I1115" s="8" t="str">
        <x:v>https://flo.uri.sh/visualisation/15494950/embed</x:v>
      </x:c>
    </x:row>
    <x:row r="1116" ht="46" customHeight="1">
      <x:c r="A1116" s="7" t="n">
        <x:v>1112</x:v>
      </x:c>
      <x:c r="B1116" s="12" t="str">
        <x:v>Washington Park</x:v>
      </x:c>
      <x:c r="C1116" s="12" t="str">
        <x:v>ESPC-III_Buildings Lighting to LEDs</x:v>
      </x:c>
      <x:c r="D1116" s="12" t="str">
        <x:v>Restroom</x:v>
      </x:c>
      <x:c r="E1116" s="12" t="str">
        <x:v>LED conversion for Exterior and Interior Lights</x:v>
      </x:c>
      <x:c r="F1116" s="21" t="n">
        <x:v>11760</x:v>
      </x:c>
      <x:c r="G1116" s="7" t="str">
        <x:v>Buildings / building systems</x:v>
      </x:c>
      <x:c r="H1116" s="7" t="str">
        <x:v>KGW November 2023 report; estimate dates not supplied</x:v>
      </x:c>
      <x:c r="I1116" s="7" t="str">
        <x:v>https://flo.uri.sh/visualisation/15494950/embed</x:v>
      </x:c>
    </x:row>
    <x:row r="1117" ht="46" customHeight="1">
      <x:c r="A1117" s="8" t="n">
        <x:v>1113</x:v>
      </x:c>
      <x:c r="B1117" s="11" t="str">
        <x:v>Washington Park</x:v>
      </x:c>
      <x:c r="C1117" s="11" t="str">
        <x:v>Replace old HVAC system</x:v>
      </x:c>
      <x:c r="D1117" s="11" t="str">
        <x:v>Rose Garden Store and Downtown District Headquarters</x:v>
      </x:c>
      <x:c r="E1117" s="11" t="str">
        <x:v>Placeholder: replace HVAC system that was installed before 2000</x:v>
      </x:c>
      <x:c r="F1117" s="20" t="n">
        <x:v>11571</x:v>
      </x:c>
      <x:c r="G1117" s="8" t="str">
        <x:v>Buildings / building systems</x:v>
      </x:c>
      <x:c r="H1117" s="8" t="str">
        <x:v>KGW November 2023 report; estimate dates not supplied</x:v>
      </x:c>
      <x:c r="I1117" s="8" t="str">
        <x:v>https://flo.uri.sh/visualisation/15494950/embed</x:v>
      </x:c>
    </x:row>
    <x:row r="1118" ht="46" customHeight="1">
      <x:c r="A1118" s="7" t="n">
        <x:v>1114</x:v>
      </x:c>
      <x:c r="B1118" s="12" t="str">
        <x:v>Washington Park</x:v>
      </x:c>
      <x:c r="C1118" s="12" t="str">
        <x:v>Renovate parking lot_Parking Area X</x:v>
      </x:c>
      <x:c r="D1118" s="12" t="str">
        <x:v>Parking Area X</x:v>
      </x:c>
      <x:c r="E1118" s="12" t="str">
        <x:v>Repair parking lot that was rated 4 in condition assessment. Repair include surface, drainage and curb. approx area= 378 sq.ft</x:v>
      </x:c>
      <x:c r="F1118" s="21" t="n">
        <x:v>11571</x:v>
      </x:c>
      <x:c r="G1118" s="7" t="str">
        <x:v>Utilities / lighting / drainage</x:v>
      </x:c>
      <x:c r="H1118" s="7" t="str">
        <x:v>KGW November 2023 report; estimate dates not supplied</x:v>
      </x:c>
      <x:c r="I1118" s="7" t="str">
        <x:v>https://flo.uri.sh/visualisation/15494950/embed</x:v>
      </x:c>
    </x:row>
    <x:row r="1119" ht="46" customHeight="1">
      <x:c r="A1119" s="8" t="n">
        <x:v>1115</x:v>
      </x:c>
      <x:c r="B1119" s="11" t="str">
        <x:v>Washington Park</x:v>
      </x:c>
      <x:c r="C1119" s="11" t="str">
        <x:v>Demolish Portland children museum building</x:v>
      </x:c>
      <x:c r="D1119" s="11" t="str">
        <x:v>Portland children museum</x:v>
      </x:c>
      <x:c r="E1119" s="11" t="str">
        <x:v>Demolish At-Risk Building (based on third-party analysis).  Significant operational expenditure and risk to keep in-as-is state.  Coordinate with Property.  Removal allows increased operational investment at public-serving facilities.
Property Priority - complication with Verizon lease</x:v>
      </x:c>
      <x:c r="F1119" s="20" t="n">
        <x:v>1020002</x:v>
      </x:c>
      <x:c r="G1119" s="8" t="str">
        <x:v>Buildings / building systems</x:v>
      </x:c>
      <x:c r="H1119" s="8" t="str">
        <x:v>KGW November 2023 report; estimate dates not supplied</x:v>
      </x:c>
      <x:c r="I1119" s="8" t="str">
        <x:v>https://flo.uri.sh/visualisation/15494950/embed</x:v>
      </x:c>
    </x:row>
    <x:row r="1120" ht="46" customHeight="1">
      <x:c r="A1120" s="7" t="n">
        <x:v>1116</x:v>
      </x:c>
      <x:c r="B1120" s="12" t="str">
        <x:v>Washington Park</x:v>
      </x:c>
      <x:c r="C1120" s="12" t="str">
        <x:v>Rock Wall Repairs</x:v>
      </x:c>
      <x:c r="D1120" s="12" t="str">
        <x:v>Washington Park</x:v>
      </x:c>
      <x:c r="E1120" s="12" t="str">
        <x:v>Disassemble and re-stack or modify dry-stack and mortar stone walls at Washington Park.  A drainage ditch may also be required.  Replaces CIP 2352, projects were split out by site.</x:v>
      </x:c>
      <x:c r="F1120" s="21" t="n">
        <x:v>1017755</x:v>
      </x:c>
      <x:c r="G1120" s="7" t="str">
        <x:v>Utilities / lighting / drainage</x:v>
      </x:c>
      <x:c r="H1120" s="7" t="str">
        <x:v>KGW November 2023 report; estimate dates not supplied</x:v>
      </x:c>
      <x:c r="I1120" s="7" t="str">
        <x:v>https://flo.uri.sh/visualisation/15494950/embed</x:v>
      </x:c>
    </x:row>
    <x:row r="1121" ht="46" customHeight="1">
      <x:c r="A1121" s="8" t="n">
        <x:v>1117</x:v>
      </x:c>
      <x:c r="B1121" s="11" t="str">
        <x:v>Washington Park</x:v>
      </x:c>
      <x:c r="C1121" s="11" t="str">
        <x:v>Upgrade building upon workspace assessment outcome</x:v>
      </x:c>
      <x:c r="D1121" s="11" t="str"/>
      <x:c r="E1121" s="11" t="str"/>
      <x:c r="F1121" s="20" t="n">
        <x:v>0</x:v>
      </x:c>
      <x:c r="G1121" s="8" t="str">
        <x:v>Buildings / building systems</x:v>
      </x:c>
      <x:c r="H1121" s="8" t="str">
        <x:v>KGW November 2023 report; estimate dates not supplied</x:v>
      </x:c>
      <x:c r="I1121" s="8" t="str">
        <x:v>https://flo.uri.sh/visualisation/15494950/embed</x:v>
      </x:c>
    </x:row>
    <x:row r="1122" ht="46" customHeight="1">
      <x:c r="A1122" s="7" t="n">
        <x:v>1118</x:v>
      </x:c>
      <x:c r="B1122" s="12" t="str">
        <x:v>Water and Gibbs Community Garden</x:v>
      </x:c>
      <x:c r="C1122" s="12" t="str">
        <x:v>Pathway Renovation</x:v>
      </x:c>
      <x:c r="D1122" s="12" t="str">
        <x:v>Internal Pathway/ Sidewalk</x:v>
      </x:c>
      <x:c r="E1122" s="12" t="str">
        <x:v>Replace the damaged pathway, trails and sidewalks that have been rated as 4 and 5 in Pathway assessment</x:v>
      </x:c>
      <x:c r="F1122" s="21" t="n">
        <x:v>13593</x:v>
      </x:c>
      <x:c r="G1122" s="7" t="str">
        <x:v>Paths / access / bridges</x:v>
      </x:c>
      <x:c r="H1122" s="7" t="str">
        <x:v>KGW November 2023 report; estimate dates not supplied</x:v>
      </x:c>
      <x:c r="I1122" s="7" t="str">
        <x:v>https://flo.uri.sh/visualisation/15494950/embed</x:v>
      </x:c>
    </x:row>
    <x:row r="1123" ht="46" customHeight="1">
      <x:c r="A1123" s="8" t="n">
        <x:v>1119</x:v>
      </x:c>
      <x:c r="B1123" s="11" t="str">
        <x:v>Wellington Park</x:v>
      </x:c>
      <x:c r="C1123" s="11" t="str">
        <x:v>Playground renovation</x:v>
      </x:c>
      <x:c r="D1123" s="11" t="str">
        <x:v>Play Area A</x:v>
      </x:c>
      <x:c r="E1123" s="11" t="str">
        <x:v>Renovation or repair playground that was rated as 5 during playground assessment in 2020</x:v>
      </x:c>
      <x:c r="F1123" s="20" t="n">
        <x:v>404570</x:v>
      </x:c>
      <x:c r="G1123" s="8" t="str">
        <x:v>Fields / courts / play</x:v>
      </x:c>
      <x:c r="H1123" s="8" t="str">
        <x:v>KGW November 2023 report; estimate dates not supplied</x:v>
      </x:c>
      <x:c r="I1123" s="8" t="str">
        <x:v>https://flo.uri.sh/visualisation/15494950/embed</x:v>
      </x:c>
    </x:row>
    <x:row r="1124" ht="46" customHeight="1">
      <x:c r="A1124" s="7" t="n">
        <x:v>1120</x:v>
      </x:c>
      <x:c r="B1124" s="12" t="str">
        <x:v>Wellington Park</x:v>
      </x:c>
      <x:c r="C1124" s="12" t="str">
        <x:v>ESPC-III_Buildings Lighting to LEDs</x:v>
      </x:c>
      <x:c r="D1124" s="12" t="str">
        <x:v>Restroom - Storage</x:v>
      </x:c>
      <x:c r="E1124" s="12" t="str">
        <x:v>LED conversion for Exterior and Interior Lights</x:v>
      </x:c>
      <x:c r="F1124" s="21" t="n">
        <x:v>11760</x:v>
      </x:c>
      <x:c r="G1124" s="7" t="str">
        <x:v>Buildings / building systems</x:v>
      </x:c>
      <x:c r="H1124" s="7" t="str">
        <x:v>KGW November 2023 report; estimate dates not supplied</x:v>
      </x:c>
      <x:c r="I1124" s="7" t="str">
        <x:v>https://flo.uri.sh/visualisation/15494950/embed</x:v>
      </x:c>
    </x:row>
    <x:row r="1125" ht="46" customHeight="1">
      <x:c r="A1125" s="8" t="n">
        <x:v>1121</x:v>
      </x:c>
      <x:c r="B1125" s="11" t="str">
        <x:v>Wellington Park</x:v>
      </x:c>
      <x:c r="C1125" s="11" t="str">
        <x:v>Replace Backflow preventer device</x:v>
      </x:c>
      <x:c r="D1125" s="11" t="str">
        <x:v>Irrigation</x:v>
      </x:c>
      <x:c r="E1125" s="11" t="str">
        <x:v>-Replace out of compliance backflow preventers
- Assembly: Double Check Valve Assembly (DCVA)
- Move to property line, if needed
- Hazard: ROW
- See components for detail</x:v>
      </x:c>
      <x:c r="F1125" s="20" t="n">
        <x:v>10000</x:v>
      </x:c>
      <x:c r="G1125" s="8" t="str">
        <x:v>Utilities / lighting / drainage</x:v>
      </x:c>
      <x:c r="H1125" s="8" t="str">
        <x:v>KGW November 2023 report; estimate dates not supplied</x:v>
      </x:c>
      <x:c r="I1125" s="8" t="str">
        <x:v>https://flo.uri.sh/visualisation/15494950/embed</x:v>
      </x:c>
    </x:row>
    <x:row r="1126" ht="46" customHeight="1">
      <x:c r="A1126" s="7" t="n">
        <x:v>1122</x:v>
      </x:c>
      <x:c r="B1126" s="12" t="str">
        <x:v>West Lents Floodplain</x:v>
      </x:c>
      <x:c r="C1126" s="12" t="str">
        <x:v>Ecological Restoration_ West Lents Floodplain</x:v>
      </x:c>
      <x:c r="D1126" s="12" t="str"/>
      <x:c r="E1126" s="12" t="str">
        <x:v>Placholder for Ecological health restoration
Part of (Terwilliger Parkway including George Himes and Duniway) project</x:v>
      </x:c>
      <x:c r="F1126" s="21" t="n">
        <x:v>294012</x:v>
      </x:c>
      <x:c r="G1126" s="7" t="str">
        <x:v>Other site infrastructure</x:v>
      </x:c>
      <x:c r="H1126" s="7" t="str">
        <x:v>KGW November 2023 report; estimate dates not supplied</x:v>
      </x:c>
      <x:c r="I1126" s="7" t="str">
        <x:v>https://flo.uri.sh/visualisation/15494950/embed</x:v>
      </x:c>
    </x:row>
    <x:row r="1127" ht="46" customHeight="1">
      <x:c r="A1127" s="8" t="n">
        <x:v>1123</x:v>
      </x:c>
      <x:c r="B1127" s="11" t="str">
        <x:v>West Powellhurst Park</x:v>
      </x:c>
      <x:c r="C1127" s="11" t="str">
        <x:v>Irrigation system at sports field</x:v>
      </x:c>
      <x:c r="D1127" s="11" t="str">
        <x:v>West Powellhurst Park</x:v>
      </x:c>
      <x:c r="E1127" s="11" t="str">
        <x:v>Install irrigation system at soccer and ball fields.</x:v>
      </x:c>
      <x:c r="F1127" s="20" t="n">
        <x:v>58827</x:v>
      </x:c>
      <x:c r="G1127" s="8" t="str">
        <x:v>Fields / courts / play</x:v>
      </x:c>
      <x:c r="H1127" s="8" t="str">
        <x:v>KGW November 2023 report; estimate dates not supplied</x:v>
      </x:c>
      <x:c r="I1127" s="8" t="str">
        <x:v>https://flo.uri.sh/visualisation/15494950/embed</x:v>
      </x:c>
    </x:row>
    <x:row r="1128" ht="46" customHeight="1">
      <x:c r="A1128" s="7" t="n">
        <x:v>1124</x:v>
      </x:c>
      <x:c r="B1128" s="12" t="str">
        <x:v>Westmoreland Park</x:v>
      </x:c>
      <x:c r="C1128" s="12" t="str">
        <x:v>Pathway Renovation</x:v>
      </x:c>
      <x:c r="D1128" s="12" t="str">
        <x:v>Internal Pathway/ Sidewalk</x:v>
      </x:c>
      <x:c r="E1128" s="12" t="str">
        <x:v>Replace the damaged pathway, trails and sidewalks that have been rated as 4 and 5 in Pathway assessment</x:v>
      </x:c>
      <x:c r="F1128" s="21" t="n">
        <x:v>83114</x:v>
      </x:c>
      <x:c r="G1128" s="7" t="str">
        <x:v>Paths / access / bridges</x:v>
      </x:c>
      <x:c r="H1128" s="7" t="str">
        <x:v>KGW November 2023 report; estimate dates not supplied</x:v>
      </x:c>
      <x:c r="I1128" s="7" t="str">
        <x:v>https://flo.uri.sh/visualisation/15494950/embed</x:v>
      </x:c>
    </x:row>
    <x:row r="1129" ht="46" customHeight="1">
      <x:c r="A1129" s="8" t="n">
        <x:v>1125</x:v>
      </x:c>
      <x:c r="B1129" s="11" t="str">
        <x:v>Westmoreland Park</x:v>
      </x:c>
      <x:c r="C1129" s="11" t="str">
        <x:v>ESPC-II_ Westmoreland Park Bowling Green Bldg</x:v>
      </x:c>
      <x:c r="D1129" s="11" t="str"/>
      <x:c r="E1129" s="11" t="str">
        <x:v>Install a GE control node on each pathway light fixture.  Node for parks with &lt;50 fixtures will be model #ELWM18BXXXXAD.  Node for parks with &gt;50 fixtures will be model #ELWN08BXXXXAD.. FIM Name: 09.17-1137 Building Exterior Lighting Controls</x:v>
      </x:c>
      <x:c r="F1129" s="20" t="n">
        <x:v>733</x:v>
      </x:c>
      <x:c r="G1129" s="8" t="str">
        <x:v>Buildings / building systems</x:v>
      </x:c>
      <x:c r="H1129" s="8" t="str">
        <x:v>KGW November 2023 report; estimate dates not supplied</x:v>
      </x:c>
      <x:c r="I1129" s="8" t="str">
        <x:v>https://flo.uri.sh/visualisation/15494950/embed</x:v>
      </x:c>
    </x:row>
    <x:row r="1130" ht="46" customHeight="1">
      <x:c r="A1130" s="7" t="n">
        <x:v>1126</x:v>
      </x:c>
      <x:c r="B1130" s="12" t="str">
        <x:v>Westmoreland Park</x:v>
      </x:c>
      <x:c r="C1130" s="12" t="str">
        <x:v>Ballfield Improvements</x:v>
      </x:c>
      <x:c r="D1130" s="12" t="str">
        <x:v>Westmoreland Park</x:v>
      </x:c>
      <x:c r="E1130" s="12" t="str">
        <x:v>Replace fencing at four fields, backstops.  Level four fields (add dirt).</x:v>
      </x:c>
      <x:c r="F1130" s="21" t="n">
        <x:v>580919</x:v>
      </x:c>
      <x:c r="G1130" s="7" t="str">
        <x:v>Fields / courts / play</x:v>
      </x:c>
      <x:c r="H1130" s="7" t="str">
        <x:v>KGW November 2023 report; estimate dates not supplied</x:v>
      </x:c>
      <x:c r="I1130" s="7" t="str">
        <x:v>https://flo.uri.sh/visualisation/15494950/embed</x:v>
      </x:c>
    </x:row>
    <x:row r="1131" ht="46" customHeight="1">
      <x:c r="A1131" s="8" t="n">
        <x:v>1127</x:v>
      </x:c>
      <x:c r="B1131" s="11" t="str">
        <x:v>Westmoreland Park</x:v>
      </x:c>
      <x:c r="C1131" s="11" t="str">
        <x:v>Renovate electrical and mechanical equipment</x:v>
      </x:c>
      <x:c r="D1131" s="11" t="str">
        <x:v>Sckavone stadium</x:v>
      </x:c>
      <x:c r="E1131" s="11" t="str">
        <x:v>Electrical and mechanical equipment’s passed 25 year of service and need to replace.</x:v>
      </x:c>
      <x:c r="F1131" s="20" t="n">
        <x:v>50000</x:v>
      </x:c>
      <x:c r="G1131" s="8" t="str">
        <x:v>Utilities / lighting / drainage</x:v>
      </x:c>
      <x:c r="H1131" s="8" t="str">
        <x:v>KGW November 2023 report; estimate dates not supplied</x:v>
      </x:c>
      <x:c r="I1131" s="8" t="str">
        <x:v>https://flo.uri.sh/visualisation/15494950/embed</x:v>
      </x:c>
    </x:row>
    <x:row r="1132" ht="46" customHeight="1">
      <x:c r="A1132" s="7" t="n">
        <x:v>1128</x:v>
      </x:c>
      <x:c r="B1132" s="12" t="str">
        <x:v>Westmoreland Park</x:v>
      </x:c>
      <x:c r="C1132" s="12" t="str">
        <x:v>ESPC-II_ Westmoreland Park Bowling Green Bldg</x:v>
      </x:c>
      <x:c r="D1132" s="12" t="str"/>
      <x:c r="E1132" s="12" t="str">
        <x:v>Convert existing lighting to LED technology via a re-lamp approach.. FIM Name: 09.06-1137 Building Interior Lighting LED Conversion</x:v>
      </x:c>
      <x:c r="F1132" s="21" t="n">
        <x:v>5137</x:v>
      </x:c>
      <x:c r="G1132" s="7" t="str">
        <x:v>Buildings / building systems</x:v>
      </x:c>
      <x:c r="H1132" s="7" t="str">
        <x:v>KGW November 2023 report; estimate dates not supplied</x:v>
      </x:c>
      <x:c r="I1132" s="7" t="str">
        <x:v>https://flo.uri.sh/visualisation/15494950/embed</x:v>
      </x:c>
    </x:row>
    <x:row r="1133" ht="46" customHeight="1">
      <x:c r="A1133" s="8" t="n">
        <x:v>1129</x:v>
      </x:c>
      <x:c r="B1133" s="11" t="str">
        <x:v>Westmoreland Park</x:v>
      </x:c>
      <x:c r="C1133" s="11" t="str">
        <x:v>Repair/Reinforce Boardwalk</x:v>
      </x:c>
      <x:c r="D1133" s="11" t="str">
        <x:v>Westmoreland Park</x:v>
      </x:c>
      <x:c r="E1133" s="11" t="str">
        <x:v>Hand rails need reinforced and boardwalk has significant slip, trip, and fall hazards, particularly during the wet winter months.</x:v>
      </x:c>
      <x:c r="F1133" s="20" t="n">
        <x:v>35281</x:v>
      </x:c>
      <x:c r="G1133" s="8" t="str">
        <x:v>Paths / access / bridges</x:v>
      </x:c>
      <x:c r="H1133" s="8" t="str">
        <x:v>KGW November 2023 report; estimate dates not supplied</x:v>
      </x:c>
      <x:c r="I1133" s="8" t="str">
        <x:v>https://flo.uri.sh/visualisation/15494950/embed</x:v>
      </x:c>
    </x:row>
    <x:row r="1134" ht="46" customHeight="1">
      <x:c r="A1134" s="7" t="n">
        <x:v>1130</x:v>
      </x:c>
      <x:c r="B1134" s="12" t="str">
        <x:v>Westmoreland Park</x:v>
      </x:c>
      <x:c r="C1134" s="12" t="str">
        <x:v>Westmoreland Park Repair &amp; Replace Bridges</x:v>
      </x:c>
      <x:c r="D1134" s="12" t="str">
        <x:v>Westmoreland Park</x:v>
      </x:c>
      <x:c r="E1134" s="12" t="str">
        <x:v>The abutments need repairs and possible replacement. Propose to remove the old bridges. Have the abutments repaired or replaced per engineering. Then have freshly engineered, ADA compliant, weather resistant bridges installed as their replacements</x:v>
      </x:c>
      <x:c r="F1134" s="21" t="n">
        <x:v>347132</x:v>
      </x:c>
      <x:c r="G1134" s="7" t="str">
        <x:v>Paths / access / bridges</x:v>
      </x:c>
      <x:c r="H1134" s="7" t="str">
        <x:v>KGW November 2023 report; estimate dates not supplied</x:v>
      </x:c>
      <x:c r="I1134" s="7" t="str">
        <x:v>https://flo.uri.sh/visualisation/15494950/embed</x:v>
      </x:c>
    </x:row>
    <x:row r="1135" ht="46" customHeight="1">
      <x:c r="A1135" s="8" t="n">
        <x:v>1131</x:v>
      </x:c>
      <x:c r="B1135" s="11" t="str">
        <x:v>Westmoreland Park</x:v>
      </x:c>
      <x:c r="C1135" s="11" t="str">
        <x:v>Parking Lots Improvements</x:v>
      </x:c>
      <x:c r="D1135" s="11" t="str">
        <x:v>Parking lot A and C</x:v>
      </x:c>
      <x:c r="E1135" s="11" t="str">
        <x:v>- Repair tennis court parking lot that is rated 5 in condition assessment. Repair include surface, drainage and curb.
- Repair southren parking lot that was rated 4 in condition assessment. Repair includes add curbing, landscaping and planter islands for aesthetic &amp; functional reasons.  Define parking areas better, sign for handicapped accessibility, improve compliance with COP stormwater manual.</x:v>
      </x:c>
      <x:c r="F1135" s="20" t="n">
        <x:v>347132</x:v>
      </x:c>
      <x:c r="G1135" s="8" t="str">
        <x:v>Fields / courts / play</x:v>
      </x:c>
      <x:c r="H1135" s="8" t="str">
        <x:v>KGW November 2023 report; estimate dates not supplied</x:v>
      </x:c>
      <x:c r="I1135" s="8" t="str">
        <x:v>https://flo.uri.sh/visualisation/15494950/embed</x:v>
      </x:c>
    </x:row>
    <x:row r="1136" ht="46" customHeight="1">
      <x:c r="A1136" s="7" t="n">
        <x:v>1132</x:v>
      </x:c>
      <x:c r="B1136" s="12" t="str">
        <x:v>Westmoreland Park</x:v>
      </x:c>
      <x:c r="C1136" s="12" t="str">
        <x:v>ESPC-II_ Westmoreland Park</x:v>
      </x:c>
      <x:c r="D1136" s="12" t="str"/>
      <x:c r="E1136" s="12" t="str">
        <x:v>Westmoreland Park - Retro commission all irrigation sprinkler systems and heads to ensure proper thrown and timing. Replace 10% of all rotary and spray heads.. FIM Name: 18.10-0852 Irrigation System Improvements</x:v>
      </x:c>
      <x:c r="F1136" s="21" t="n">
        <x:v>32170</x:v>
      </x:c>
      <x:c r="G1136" s="7" t="str">
        <x:v>Utilities / lighting / drainage</x:v>
      </x:c>
      <x:c r="H1136" s="7" t="str">
        <x:v>KGW November 2023 report; estimate dates not supplied</x:v>
      </x:c>
      <x:c r="I1136" s="7" t="str">
        <x:v>https://flo.uri.sh/visualisation/15494950/embed</x:v>
      </x:c>
    </x:row>
    <x:row r="1137" ht="46" customHeight="1">
      <x:c r="A1137" s="8" t="n">
        <x:v>1133</x:v>
      </x:c>
      <x:c r="B1137" s="11" t="str">
        <x:v>Westmoreland Park</x:v>
      </x:c>
      <x:c r="C1137" s="11" t="str">
        <x:v>ESPC-II_ Westmoreland Park</x:v>
      </x:c>
      <x:c r="D1137" s="11" t="str"/>
      <x:c r="E1137" s="11" t="str">
        <x:v>Install a GE control node on each pathway light fixture.  Node for parks with &lt;50 fixtures will be model #ELWM18BXXXXAD.  Node for parks with &gt;50 fixtures will be model #ELWN08BXXXXAD.. FIM Name: 09.17-0852 Building Exterior Lighting Controls</x:v>
      </x:c>
      <x:c r="F1137" s="20" t="n">
        <x:v>3295</x:v>
      </x:c>
      <x:c r="G1137" s="8" t="str">
        <x:v>Buildings / building systems</x:v>
      </x:c>
      <x:c r="H1137" s="8" t="str">
        <x:v>KGW November 2023 report; estimate dates not supplied</x:v>
      </x:c>
      <x:c r="I1137" s="8" t="str">
        <x:v>https://flo.uri.sh/visualisation/15494950/embed</x:v>
      </x:c>
    </x:row>
    <x:row r="1138" ht="46" customHeight="1">
      <x:c r="A1138" s="7" t="n">
        <x:v>1134</x:v>
      </x:c>
      <x:c r="B1138" s="12" t="str">
        <x:v>Westmoreland Park</x:v>
      </x:c>
      <x:c r="C1138" s="12" t="str">
        <x:v>ESPC-II_ Westmoreland Park</x:v>
      </x:c>
      <x:c r="D1138" s="12" t="str"/>
      <x:c r="E1138" s="12" t="str">
        <x:v>Convert existing lighting to LED technology via a re-lamp approach.. FIM Name: 09.06-0852 Building Interior Lighting LED Conversion</x:v>
      </x:c>
      <x:c r="F1138" s="21" t="n">
        <x:v>2984</x:v>
      </x:c>
      <x:c r="G1138" s="7" t="str">
        <x:v>Buildings / building systems</x:v>
      </x:c>
      <x:c r="H1138" s="7" t="str">
        <x:v>KGW November 2023 report; estimate dates not supplied</x:v>
      </x:c>
      <x:c r="I1138" s="7" t="str">
        <x:v>https://flo.uri.sh/visualisation/15494950/embed</x:v>
      </x:c>
    </x:row>
    <x:row r="1139" ht="46" customHeight="1">
      <x:c r="A1139" s="8" t="n">
        <x:v>1135</x:v>
      </x:c>
      <x:c r="B1139" s="11" t="str">
        <x:v>Westmoreland Park</x:v>
      </x:c>
      <x:c r="C1139" s="11" t="str">
        <x:v>ESPC-II_ Westmoreland Park</x:v>
      </x:c>
      <x:c r="D1139" s="11" t="str"/>
      <x:c r="E1139" s="11" t="str">
        <x:v>Convert existing lighting to LED technology via a re-lamp approach.. FIM Name: 09.07-0852 Building Exterior Lighting LED Conversion</x:v>
      </x:c>
      <x:c r="F1139" s="20" t="n">
        <x:v>2871</x:v>
      </x:c>
      <x:c r="G1139" s="8" t="str">
        <x:v>Buildings / building systems</x:v>
      </x:c>
      <x:c r="H1139" s="8" t="str">
        <x:v>KGW November 2023 report; estimate dates not supplied</x:v>
      </x:c>
      <x:c r="I1139" s="8" t="str">
        <x:v>https://flo.uri.sh/visualisation/15494950/embed</x:v>
      </x:c>
    </x:row>
    <x:row r="1140" ht="46" customHeight="1">
      <x:c r="A1140" s="7" t="n">
        <x:v>1136</x:v>
      </x:c>
      <x:c r="B1140" s="12" t="str">
        <x:v>Westmoreland Park</x:v>
      </x:c>
      <x:c r="C1140" s="12" t="str">
        <x:v>ESPC-II_ Westmoreland Park Bowling Green Bldg</x:v>
      </x:c>
      <x:c r="D1140" s="12" t="str"/>
      <x:c r="E1140" s="12" t="str">
        <x:v>Convert existing lighting to LED technology via a re-lamp approach.. FIM Name: 09.07-1137 Building Exterior Lighting LED Conversion</x:v>
      </x:c>
      <x:c r="F1140" s="21" t="n">
        <x:v>194</x:v>
      </x:c>
      <x:c r="G1140" s="7" t="str">
        <x:v>Buildings / building systems</x:v>
      </x:c>
      <x:c r="H1140" s="7" t="str">
        <x:v>KGW November 2023 report; estimate dates not supplied</x:v>
      </x:c>
      <x:c r="I1140" s="7" t="str">
        <x:v>https://flo.uri.sh/visualisation/15494950/embed</x:v>
      </x:c>
    </x:row>
    <x:row r="1141" ht="46" customHeight="1">
      <x:c r="A1141" s="8" t="n">
        <x:v>1137</x:v>
      </x:c>
      <x:c r="B1141" s="11" t="str">
        <x:v>Westmoreland Park</x:v>
      </x:c>
      <x:c r="C1141" s="11" t="str">
        <x:v>Westmoreland Park Path Paving</x:v>
      </x:c>
      <x:c r="D1141" s="11" t="str">
        <x:v>Pathway</x:v>
      </x:c>
      <x:c r="E1141" s="11" t="str">
        <x:v>Pave a short section of path related to the nature play project</x:v>
      </x:c>
      <x:c r="F1141" s="20" t="n">
        <x:v>15481</x:v>
      </x:c>
      <x:c r="G1141" s="8" t="str">
        <x:v>Paths / access / bridges</x:v>
      </x:c>
      <x:c r="H1141" s="8" t="str">
        <x:v>KGW November 2023 report; estimate dates not supplied</x:v>
      </x:c>
      <x:c r="I1141" s="8" t="str">
        <x:v>https://flo.uri.sh/visualisation/15494950/embed</x:v>
      </x:c>
    </x:row>
    <x:row r="1142" ht="46" customHeight="1">
      <x:c r="A1142" s="7" t="n">
        <x:v>1138</x:v>
      </x:c>
      <x:c r="B1142" s="12" t="str">
        <x:v>Westmoreland Park</x:v>
      </x:c>
      <x:c r="C1142" s="12" t="str">
        <x:v>Replace Backflow preventer device</x:v>
      </x:c>
      <x:c r="D1142" s="12" t="str">
        <x:v>Irrigation</x:v>
      </x:c>
      <x:c r="E1142" s="12" t="str">
        <x:v>-Replace out of compliance backflow preventers
- Assembly: Double Check Valve Assembly (DCVA)
- Move to property line, if needed
- Hazard: well Site &amp; flood plain
- See components for detail</x:v>
      </x:c>
      <x:c r="F1142" s="21" t="n">
        <x:v>12000</x:v>
      </x:c>
      <x:c r="G1142" s="7" t="str">
        <x:v>Utilities / lighting / drainage</x:v>
      </x:c>
      <x:c r="H1142" s="7" t="str">
        <x:v>KGW November 2023 report; estimate dates not supplied</x:v>
      </x:c>
      <x:c r="I1142" s="7" t="str">
        <x:v>https://flo.uri.sh/visualisation/15494950/embed</x:v>
      </x:c>
    </x:row>
    <x:row r="1143" ht="46" customHeight="1">
      <x:c r="A1143" s="8" t="n">
        <x:v>1139</x:v>
      </x:c>
      <x:c r="B1143" s="11" t="str">
        <x:v>Westmoreland Park</x:v>
      </x:c>
      <x:c r="C1143" s="11" t="str">
        <x:v>Park Entry Improvements</x:v>
      </x:c>
      <x:c r="D1143" s="11" t="str">
        <x:v>Westmoreland Park</x:v>
      </x:c>
      <x:c r="E1143" s="11" t="str">
        <x:v>Install signs and entry markers, add accessibility ramps to provide access to park to more people.  Use pillars salvaged from Bybee bridge replacement to mark entries.</x:v>
      </x:c>
      <x:c r="F1143" s="20" t="n">
        <x:v>111879</x:v>
      </x:c>
      <x:c r="G1143" s="8" t="str">
        <x:v>Paths / access / bridges</x:v>
      </x:c>
      <x:c r="H1143" s="8" t="str">
        <x:v>KGW November 2023 report; estimate dates not supplied</x:v>
      </x:c>
      <x:c r="I1143" s="8" t="str">
        <x:v>https://flo.uri.sh/visualisation/15494950/embed</x:v>
      </x:c>
    </x:row>
    <x:row r="1144" ht="46" customHeight="1">
      <x:c r="A1144" s="7" t="n">
        <x:v>1140</x:v>
      </x:c>
      <x:c r="B1144" s="12" t="str">
        <x:v>Westmoreland Park</x:v>
      </x:c>
      <x:c r="C1144" s="12" t="str">
        <x:v>Tennis Courts: Renovation</x:v>
      </x:c>
      <x:c r="D1144" s="12" t="str">
        <x:v>Westmoreland Park</x:v>
      </x:c>
      <x:c r="E1144" s="12" t="str">
        <x:v>- Relocate tennis courts to  south end of park between Skavone Stadium and parking lot along SE 23rd.
-  Add new lights poles as replacement of removed ones in sport courts.
- One of the four light poles fell down and was removed leaving exposed wires.
- There is no more electrical panel, or power to turn on these lights. This court service needs to be rebuilt from the ground up, including 4 new light poles.</x:v>
      </x:c>
      <x:c r="F1144" s="21" t="n">
        <x:v>100691</x:v>
      </x:c>
      <x:c r="G1144" s="7" t="str">
        <x:v>Fields / courts / play</x:v>
      </x:c>
      <x:c r="H1144" s="7" t="str">
        <x:v>KGW November 2023 report; estimate dates not supplied</x:v>
      </x:c>
      <x:c r="I1144" s="7" t="str">
        <x:v>https://flo.uri.sh/visualisation/15494950/embed</x:v>
      </x:c>
    </x:row>
    <x:row r="1145" ht="46" customHeight="1">
      <x:c r="A1145" s="8" t="n">
        <x:v>1141</x:v>
      </x:c>
      <x:c r="B1145" s="11" t="str">
        <x:v>Whitaker Ponds Natural Area</x:v>
      </x:c>
      <x:c r="C1145" s="11" t="str">
        <x:v>Decomission the baseball including the fence</x:v>
      </x:c>
      <x:c r="D1145" s="11" t="str">
        <x:v>Whitaker Ponds Natural Area</x:v>
      </x:c>
      <x:c r="E1145" s="11" t="str">
        <x:v>- Decommission the farthest north, largest baseball field, as approved by James Allison including the fence</x:v>
      </x:c>
      <x:c r="F1145" s="20" t="n">
        <x:v>58802</x:v>
      </x:c>
      <x:c r="G1145" s="8" t="str">
        <x:v>Fields / courts / play</x:v>
      </x:c>
      <x:c r="H1145" s="8" t="str">
        <x:v>KGW November 2023 report; estimate dates not supplied</x:v>
      </x:c>
      <x:c r="I1145" s="8" t="str">
        <x:v>https://flo.uri.sh/visualisation/15494950/embed</x:v>
      </x:c>
    </x:row>
    <x:row r="1146" ht="46" customHeight="1">
      <x:c r="A1146" s="7" t="n">
        <x:v>1142</x:v>
      </x:c>
      <x:c r="B1146" s="12" t="str">
        <x:v>Whitaker Ponds Natural Area</x:v>
      </x:c>
      <x:c r="C1146" s="12" t="str">
        <x:v>Renovate the Roof of Office building</x:v>
      </x:c>
      <x:c r="D1146" s="12" t="str">
        <x:v>Bunn House</x:v>
      </x:c>
      <x:c r="E1146" s="12" t="str">
        <x:v>Fix or replace the Roof that is rated 4 through buildings' assessment</x:v>
      </x:c>
      <x:c r="F1146" s="21" t="n">
        <x:v>247542</x:v>
      </x:c>
      <x:c r="G1146" s="7" t="str">
        <x:v>Buildings / building systems</x:v>
      </x:c>
      <x:c r="H1146" s="7" t="str">
        <x:v>KGW November 2023 report; estimate dates not supplied</x:v>
      </x:c>
      <x:c r="I1146" s="7" t="str">
        <x:v>https://flo.uri.sh/visualisation/15494950/embed</x:v>
      </x:c>
    </x:row>
    <x:row r="1147" ht="46" customHeight="1">
      <x:c r="A1147" s="8" t="n">
        <x:v>1143</x:v>
      </x:c>
      <x:c r="B1147" s="11" t="str">
        <x:v>Whitaker Ponds Natural Area</x:v>
      </x:c>
      <x:c r="C1147" s="11" t="str">
        <x:v>Renovate the Roof of Storage building</x:v>
      </x:c>
      <x:c r="D1147" s="11" t="str">
        <x:v>Bunn Garage</x:v>
      </x:c>
      <x:c r="E1147" s="11" t="str">
        <x:v>Fix or replace the Roof that is rated 4 through buildings' assessment</x:v>
      </x:c>
      <x:c r="F1147" s="20" t="n">
        <x:v>247542</x:v>
      </x:c>
      <x:c r="G1147" s="8" t="str">
        <x:v>Buildings / building systems</x:v>
      </x:c>
      <x:c r="H1147" s="8" t="str">
        <x:v>KGW November 2023 report; estimate dates not supplied</x:v>
      </x:c>
      <x:c r="I1147" s="8" t="str">
        <x:v>https://flo.uri.sh/visualisation/15494950/embed</x:v>
      </x:c>
    </x:row>
    <x:row r="1148" ht="46" customHeight="1">
      <x:c r="A1148" s="7" t="n">
        <x:v>1144</x:v>
      </x:c>
      <x:c r="B1148" s="12" t="str">
        <x:v>Whitaker Ponds Natural Area</x:v>
      </x:c>
      <x:c r="C1148" s="12" t="str">
        <x:v>Pathway Renovation</x:v>
      </x:c>
      <x:c r="D1148" s="12" t="str">
        <x:v>Internal Pathway/ Sidewalk</x:v>
      </x:c>
      <x:c r="E1148" s="12" t="str">
        <x:v>Replace the damaged pathway, trails and sidewalks that have been rated as 4 and 5 in Pathway assessment</x:v>
      </x:c>
      <x:c r="F1148" s="21" t="n">
        <x:v>18851</x:v>
      </x:c>
      <x:c r="G1148" s="7" t="str">
        <x:v>Paths / access / bridges</x:v>
      </x:c>
      <x:c r="H1148" s="7" t="str">
        <x:v>KGW November 2023 report; estimate dates not supplied</x:v>
      </x:c>
      <x:c r="I1148" s="7" t="str">
        <x:v>https://flo.uri.sh/visualisation/15494950/embed</x:v>
      </x:c>
    </x:row>
    <x:row r="1149" ht="46" customHeight="1">
      <x:c r="A1149" s="8" t="n">
        <x:v>1145</x:v>
      </x:c>
      <x:c r="B1149" s="11" t="str">
        <x:v>Whitaker Ponds Natural Area</x:v>
      </x:c>
      <x:c r="C1149" s="11" t="str">
        <x:v>Repair pedestrian bridge</x:v>
      </x:c>
      <x:c r="D1149" s="11" t="str">
        <x:v>Pedestrian bridge</x:v>
      </x:c>
      <x:c r="E1149" s="11" t="str">
        <x:v>Renovate Complex and Major bridges that was rated as 4-5 in bridge condition assessment 2021</x:v>
      </x:c>
      <x:c r="F1149" s="20" t="n">
        <x:v>159591</x:v>
      </x:c>
      <x:c r="G1149" s="8" t="str">
        <x:v>Paths / access / bridges</x:v>
      </x:c>
      <x:c r="H1149" s="8" t="str">
        <x:v>KGW November 2023 report; estimate dates not supplied</x:v>
      </x:c>
      <x:c r="I1149" s="8" t="str">
        <x:v>https://flo.uri.sh/visualisation/15494950/embed</x:v>
      </x:c>
    </x:row>
    <x:row r="1150" ht="46" customHeight="1">
      <x:c r="A1150" s="7" t="n">
        <x:v>1146</x:v>
      </x:c>
      <x:c r="B1150" s="12" t="str">
        <x:v>Whitaker Ponds Natural Area</x:v>
      </x:c>
      <x:c r="C1150" s="12" t="str">
        <x:v>Ecological Restoration_ Whitaker Ponds Natural Area</x:v>
      </x:c>
      <x:c r="D1150" s="12" t="str"/>
      <x:c r="E1150" s="12" t="str">
        <x:v>Placholder for Ecological health restoration</x:v>
      </x:c>
      <x:c r="F1150" s="21" t="n">
        <x:v>147006</x:v>
      </x:c>
      <x:c r="G1150" s="7" t="str">
        <x:v>Other site infrastructure</x:v>
      </x:c>
      <x:c r="H1150" s="7" t="str">
        <x:v>KGW November 2023 report; estimate dates not supplied</x:v>
      </x:c>
      <x:c r="I1150" s="7" t="str">
        <x:v>https://flo.uri.sh/visualisation/15494950/embed</x:v>
      </x:c>
    </x:row>
    <x:row r="1151" ht="46" customHeight="1">
      <x:c r="A1151" s="8" t="n">
        <x:v>1147</x:v>
      </x:c>
      <x:c r="B1151" s="11" t="str">
        <x:v>Wilkes Headwaters Property</x:v>
      </x:c>
      <x:c r="C1151" s="11" t="str">
        <x:v>Ecological Restoration_ Wilkes Headwaters Property</x:v>
      </x:c>
      <x:c r="D1151" s="11" t="str"/>
      <x:c r="E1151" s="11" t="str">
        <x:v>Placholder for Ecological health restoration
Part of (Terwilliger Parkway including George Himes and Duniway) project</x:v>
      </x:c>
      <x:c r="F1151" s="20" t="n">
        <x:v>294012</x:v>
      </x:c>
      <x:c r="G1151" s="8" t="str">
        <x:v>Utilities / lighting / drainage</x:v>
      </x:c>
      <x:c r="H1151" s="8" t="str">
        <x:v>KGW November 2023 report; estimate dates not supplied</x:v>
      </x:c>
      <x:c r="I1151" s="8" t="str">
        <x:v>https://flo.uri.sh/visualisation/15494950/embed</x:v>
      </x:c>
    </x:row>
    <x:row r="1152" ht="46" customHeight="1">
      <x:c r="A1152" s="7" t="n">
        <x:v>1148</x:v>
      </x:c>
      <x:c r="B1152" s="12" t="str">
        <x:v>Wilkes Park</x:v>
      </x:c>
      <x:c r="C1152" s="12" t="str">
        <x:v>Renovate Basketball sport court at Wilkes Park</x:v>
      </x:c>
      <x:c r="D1152" s="12" t="str">
        <x:v>Basketball Court</x:v>
      </x:c>
      <x:c r="E1152" s="12" t="str">
        <x:v>Fix or replace the Nike Resurf surface of the court that is rated 4 through courts' assessment</x:v>
      </x:c>
      <x:c r="F1152" s="21" t="n">
        <x:v>75561</x:v>
      </x:c>
      <x:c r="G1152" s="7" t="str">
        <x:v>Fields / courts / play</x:v>
      </x:c>
      <x:c r="H1152" s="7" t="str">
        <x:v>KGW November 2023 report; estimate dates not supplied</x:v>
      </x:c>
      <x:c r="I1152" s="7" t="str">
        <x:v>https://flo.uri.sh/visualisation/15494950/embed</x:v>
      </x:c>
    </x:row>
    <x:row r="1153" ht="46" customHeight="1">
      <x:c r="A1153" s="8" t="n">
        <x:v>1149</x:v>
      </x:c>
      <x:c r="B1153" s="11" t="str">
        <x:v>Wilkes Park</x:v>
      </x:c>
      <x:c r="C1153" s="11" t="str">
        <x:v>Playground renovation</x:v>
      </x:c>
      <x:c r="D1153" s="11" t="str">
        <x:v>Play Area A</x:v>
      </x:c>
      <x:c r="E1153" s="11" t="str">
        <x:v>Renovation or repair playground that was rated as 5 during playground assessment in 2020</x:v>
      </x:c>
      <x:c r="F1153" s="20" t="n">
        <x:v>404570</x:v>
      </x:c>
      <x:c r="G1153" s="8" t="str">
        <x:v>Fields / courts / play</x:v>
      </x:c>
      <x:c r="H1153" s="8" t="str">
        <x:v>KGW November 2023 report; estimate dates not supplied</x:v>
      </x:c>
      <x:c r="I1153" s="8" t="str">
        <x:v>https://flo.uri.sh/visualisation/15494950/embed</x:v>
      </x:c>
    </x:row>
    <x:row r="1154" ht="46" customHeight="1">
      <x:c r="A1154" s="7" t="n">
        <x:v>1150</x:v>
      </x:c>
      <x:c r="B1154" s="12" t="str">
        <x:v>Wilkes Park</x:v>
      </x:c>
      <x:c r="C1154" s="12" t="str">
        <x:v>ESPC-III_Buildings Lighting to LEDs</x:v>
      </x:c>
      <x:c r="D1154" s="12" t="str">
        <x:v>Restroom - Loo</x:v>
      </x:c>
      <x:c r="E1154" s="12" t="str">
        <x:v>LED conversion for Exterior and Interior Lights</x:v>
      </x:c>
      <x:c r="F1154" s="21" t="n">
        <x:v>11760</x:v>
      </x:c>
      <x:c r="G1154" s="7" t="str">
        <x:v>Buildings / building systems</x:v>
      </x:c>
      <x:c r="H1154" s="7" t="str">
        <x:v>KGW November 2023 report; estimate dates not supplied</x:v>
      </x:c>
      <x:c r="I1154" s="7" t="str">
        <x:v>https://flo.uri.sh/visualisation/15494950/embed</x:v>
      </x:c>
    </x:row>
    <x:row r="1155" ht="46" customHeight="1">
      <x:c r="A1155" s="8" t="n">
        <x:v>1151</x:v>
      </x:c>
      <x:c r="B1155" s="11" t="str">
        <x:v>Willamette Greenway Trail</x:v>
      </x:c>
      <x:c r="C1155" s="11" t="str">
        <x:v>Drainage Repair</x:v>
      </x:c>
      <x:c r="D1155" s="11" t="str">
        <x:v>Willamette Greenway Trail</x:v>
      </x:c>
      <x:c r="E1155" s="11" t="str">
        <x:v>Install new drainage at low point near trestle to prevent flooding</x:v>
      </x:c>
      <x:c r="F1155" s="20" t="n">
        <x:v>320831</x:v>
      </x:c>
      <x:c r="G1155" s="8" t="str">
        <x:v>Paths / access / bridges</x:v>
      </x:c>
      <x:c r="H1155" s="8" t="str">
        <x:v>KGW November 2023 report; estimate dates not supplied</x:v>
      </x:c>
      <x:c r="I1155" s="8" t="str">
        <x:v>https://flo.uri.sh/visualisation/15494950/embed</x:v>
      </x:c>
    </x:row>
    <x:row r="1156" ht="46" customHeight="1">
      <x:c r="A1156" s="7" t="n">
        <x:v>1152</x:v>
      </x:c>
      <x:c r="B1156" s="12" t="str">
        <x:v>Willamette Greenway Trail</x:v>
      </x:c>
      <x:c r="C1156" s="12" t="str">
        <x:v>Greenway Westside</x:v>
      </x:c>
      <x:c r="D1156" s="12" t="str"/>
      <x:c r="E1156" s="12" t="str">
        <x:v>Greenway Westside - Repair Existing Failing Sections</x:v>
      </x:c>
      <x:c r="F1156" s="21" t="n">
        <x:v>3471319</x:v>
      </x:c>
      <x:c r="G1156" s="7" t="str">
        <x:v>Other site infrastructure</x:v>
      </x:c>
      <x:c r="H1156" s="7" t="str">
        <x:v>KGW November 2023 report; estimate dates not supplied</x:v>
      </x:c>
      <x:c r="I1156" s="7" t="str">
        <x:v>https://flo.uri.sh/visualisation/15494950/embed</x:v>
      </x:c>
    </x:row>
    <x:row r="1157" ht="46" customHeight="1">
      <x:c r="A1157" s="8" t="n">
        <x:v>1153</x:v>
      </x:c>
      <x:c r="B1157" s="11" t="str">
        <x:v>Willamette Moorage</x:v>
      </x:c>
      <x:c r="C1157" s="11" t="str">
        <x:v>Ecological Restoration_ Willamette Moorage</x:v>
      </x:c>
      <x:c r="D1157" s="11" t="str"/>
      <x:c r="E1157" s="11" t="str">
        <x:v>Placholder for Ecological health restoration
Part of (Willamette Moorage and Butterfly Park) project</x:v>
      </x:c>
      <x:c r="F1157" s="20" t="n">
        <x:v>73503</x:v>
      </x:c>
      <x:c r="G1157" s="8" t="str">
        <x:v>Other site infrastructure</x:v>
      </x:c>
      <x:c r="H1157" s="8" t="str">
        <x:v>KGW November 2023 report; estimate dates not supplied</x:v>
      </x:c>
      <x:c r="I1157" s="8" t="str">
        <x:v>https://flo.uri.sh/visualisation/15494950/embed</x:v>
      </x:c>
    </x:row>
    <x:row r="1158" ht="46" customHeight="1">
      <x:c r="A1158" s="7" t="n">
        <x:v>1154</x:v>
      </x:c>
      <x:c r="B1158" s="12" t="str">
        <x:v>Willamette Moorage</x:v>
      </x:c>
      <x:c r="C1158" s="12" t="str">
        <x:v>Replace Backflow preventer device</x:v>
      </x:c>
      <x:c r="D1158" s="12" t="str">
        <x:v>Property</x:v>
      </x:c>
      <x:c r="E1158" s="12" t="str">
        <x:v>- Replace out of compliance backflow preventer
- Assembly: Double Check Valve Assembly (DCVA)
- Premises Isolation (PI): 1.5" Reduced Pressure + Enclosure. Serial # B053236
- Move to property line, if needed
- Hazard: Flood Plain</x:v>
      </x:c>
      <x:c r="F1158" s="21" t="n">
        <x:v>10000</x:v>
      </x:c>
      <x:c r="G1158" s="7" t="str">
        <x:v>Utilities / lighting / drainage</x:v>
      </x:c>
      <x:c r="H1158" s="7" t="str">
        <x:v>KGW November 2023 report; estimate dates not supplied</x:v>
      </x:c>
      <x:c r="I1158" s="7" t="str">
        <x:v>https://flo.uri.sh/visualisation/15494950/embed</x:v>
      </x:c>
    </x:row>
    <x:row r="1159" ht="46" customHeight="1">
      <x:c r="A1159" s="8" t="n">
        <x:v>1155</x:v>
      </x:c>
      <x:c r="B1159" s="11" t="str">
        <x:v>Willamette Park</x:v>
      </x:c>
      <x:c r="C1159" s="11" t="str">
        <x:v>Pathway Renovation</x:v>
      </x:c>
      <x:c r="D1159" s="11" t="str">
        <x:v>Willamette Park</x:v>
      </x:c>
      <x:c r="E1159" s="11" t="str">
        <x:v>Replace the damaged pathway, trails and sidewalks that have been rated as 4 and 5 in Pathway assessment</x:v>
      </x:c>
      <x:c r="F1159" s="20" t="n">
        <x:v>89627</x:v>
      </x:c>
      <x:c r="G1159" s="8" t="str">
        <x:v>Paths / access / bridges</x:v>
      </x:c>
      <x:c r="H1159" s="8" t="str">
        <x:v>KGW November 2023 report; estimate dates not supplied</x:v>
      </x:c>
      <x:c r="I1159" s="8" t="str">
        <x:v>https://flo.uri.sh/visualisation/15494950/embed</x:v>
      </x:c>
    </x:row>
    <x:row r="1160" ht="46" customHeight="1">
      <x:c r="A1160" s="7" t="n">
        <x:v>1156</x:v>
      </x:c>
      <x:c r="B1160" s="12" t="str">
        <x:v>Willamette Park</x:v>
      </x:c>
      <x:c r="C1160" s="12" t="str">
        <x:v>Renovate the Structure of Restroom building</x:v>
      </x:c>
      <x:c r="D1160" s="12" t="str">
        <x:v>Restroom A</x:v>
      </x:c>
      <x:c r="E1160" s="12" t="str">
        <x:v>Fix or replace the Structure that is rated 4 through buildings' assessment</x:v>
      </x:c>
      <x:c r="F1160" s="21" t="n">
        <x:v>60178</x:v>
      </x:c>
      <x:c r="G1160" s="7" t="str">
        <x:v>Buildings / building systems</x:v>
      </x:c>
      <x:c r="H1160" s="7" t="str">
        <x:v>KGW November 2023 report; estimate dates not supplied</x:v>
      </x:c>
      <x:c r="I1160" s="7" t="str">
        <x:v>https://flo.uri.sh/visualisation/15494950/embed</x:v>
      </x:c>
    </x:row>
    <x:row r="1161" ht="46" customHeight="1">
      <x:c r="A1161" s="8" t="n">
        <x:v>1157</x:v>
      </x:c>
      <x:c r="B1161" s="11" t="str">
        <x:v>Willamette Park</x:v>
      </x:c>
      <x:c r="C1161" s="11" t="str">
        <x:v>Renovation of tennis courts</x:v>
      </x:c>
      <x:c r="D1161" s="11" t="str">
        <x:v>Willamette Park</x:v>
      </x:c>
      <x:c r="E1161" s="11" t="str">
        <x:v>Resurface 4 courts; add lighting, fencing and gates; refinish benches. Priority 1</x:v>
      </x:c>
      <x:c r="F1161" s="20" t="n">
        <x:v>396307</x:v>
      </x:c>
      <x:c r="G1161" s="8" t="str">
        <x:v>Fields / courts / play</x:v>
      </x:c>
      <x:c r="H1161" s="8" t="str">
        <x:v>KGW November 2023 report; estimate dates not supplied</x:v>
      </x:c>
      <x:c r="I1161" s="8" t="str">
        <x:v>https://flo.uri.sh/visualisation/15494950/embed</x:v>
      </x:c>
    </x:row>
    <x:row r="1162" ht="46" customHeight="1">
      <x:c r="A1162" s="7" t="n">
        <x:v>1158</x:v>
      </x:c>
      <x:c r="B1162" s="12" t="str">
        <x:v>Willamette Park</x:v>
      </x:c>
      <x:c r="C1162" s="12" t="str">
        <x:v>5 Year Maintenance Dredge</x:v>
      </x:c>
      <x:c r="D1162" s="12" t="str">
        <x:v>Willamette Park</x:v>
      </x:c>
      <x:c r="E1162" s="12" t="str">
        <x:v>5 Year Maintenance Dredge - needs to be done per original permit 5 years after CIP 2386 is completed.</x:v>
      </x:c>
      <x:c r="F1162" s="21" t="n">
        <x:v>363465</x:v>
      </x:c>
      <x:c r="G1162" s="7" t="str">
        <x:v>Other site infrastructure</x:v>
      </x:c>
      <x:c r="H1162" s="7" t="str">
        <x:v>KGW November 2023 report; estimate dates not supplied</x:v>
      </x:c>
      <x:c r="I1162" s="7" t="str">
        <x:v>https://flo.uri.sh/visualisation/15494950/embed</x:v>
      </x:c>
    </x:row>
    <x:row r="1163" ht="46" customHeight="1">
      <x:c r="A1163" s="8" t="n">
        <x:v>1159</x:v>
      </x:c>
      <x:c r="B1163" s="11" t="str">
        <x:v>Willamette Park</x:v>
      </x:c>
      <x:c r="C1163" s="11" t="str">
        <x:v>10 Year Maintenance Dredge</x:v>
      </x:c>
      <x:c r="D1163" s="11" t="str">
        <x:v>Willamette Park</x:v>
      </x:c>
      <x:c r="E1163" s="11" t="str">
        <x:v>10 Year Maintenance Dredge - needs to be done per original permit 10 years after CIP 2386 is completed, 5 years after CIP 2741 is completed.</x:v>
      </x:c>
      <x:c r="F1163" s="20" t="n">
        <x:v>363465</x:v>
      </x:c>
      <x:c r="G1163" s="8" t="str">
        <x:v>Other site infrastructure</x:v>
      </x:c>
      <x:c r="H1163" s="8" t="str">
        <x:v>KGW November 2023 report; estimate dates not supplied</x:v>
      </x:c>
      <x:c r="I1163" s="8" t="str">
        <x:v>https://flo.uri.sh/visualisation/15494950/embed</x:v>
      </x:c>
    </x:row>
    <x:row r="1164" ht="46" customHeight="1">
      <x:c r="A1164" s="7" t="n">
        <x:v>1160</x:v>
      </x:c>
      <x:c r="B1164" s="12" t="str">
        <x:v>Willamette Park</x:v>
      </x:c>
      <x:c r="C1164" s="12" t="str">
        <x:v>Renovate sport field</x:v>
      </x:c>
      <x:c r="D1164" s="12" t="str">
        <x:v>Sports Field 1, Sports Field 2</x:v>
      </x:c>
      <x:c r="E1164" s="12" t="str">
        <x:v>Sport fields rated 4 or 5 in condition assessment</x:v>
      </x:c>
      <x:c r="F1164" s="21" t="n">
        <x:v>2550004</x:v>
      </x:c>
      <x:c r="G1164" s="7" t="str">
        <x:v>Fields / courts / play</x:v>
      </x:c>
      <x:c r="H1164" s="7" t="str">
        <x:v>KGW November 2023 report; estimate dates not supplied</x:v>
      </x:c>
      <x:c r="I1164" s="7" t="str">
        <x:v>https://flo.uri.sh/visualisation/15494950/embed</x:v>
      </x:c>
    </x:row>
    <x:row r="1165" ht="46" customHeight="1">
      <x:c r="A1165" s="8" t="n">
        <x:v>1161</x:v>
      </x:c>
      <x:c r="B1165" s="11" t="str">
        <x:v>Willamette Park</x:v>
      </x:c>
      <x:c r="C1165" s="11" t="str">
        <x:v>Ecological Restoration_ Willamette Park</x:v>
      </x:c>
      <x:c r="D1165" s="11" t="str"/>
      <x:c r="E1165" s="11" t="str">
        <x:v>Placholder for Ecological health restoration</x:v>
      </x:c>
      <x:c r="F1165" s="20" t="n">
        <x:v>147006</x:v>
      </x:c>
      <x:c r="G1165" s="8" t="str">
        <x:v>Other site infrastructure</x:v>
      </x:c>
      <x:c r="H1165" s="8" t="str">
        <x:v>KGW November 2023 report; estimate dates not supplied</x:v>
      </x:c>
      <x:c r="I1165" s="8" t="str">
        <x:v>https://flo.uri.sh/visualisation/15494950/embed</x:v>
      </x:c>
    </x:row>
    <x:row r="1166" ht="46" customHeight="1">
      <x:c r="A1166" s="7" t="n">
        <x:v>1162</x:v>
      </x:c>
      <x:c r="B1166" s="12" t="str">
        <x:v>Willamette Park</x:v>
      </x:c>
      <x:c r="C1166" s="12" t="str">
        <x:v>ESPC-III_Buildings Lighting to LEDs</x:v>
      </x:c>
      <x:c r="D1166" s="12" t="str">
        <x:v>Restroom</x:v>
      </x:c>
      <x:c r="E1166" s="12" t="str">
        <x:v>LED conversion for Exterior and Interior Lights</x:v>
      </x:c>
      <x:c r="F1166" s="21" t="n">
        <x:v>11760</x:v>
      </x:c>
      <x:c r="G1166" s="7" t="str">
        <x:v>Buildings / building systems</x:v>
      </x:c>
      <x:c r="H1166" s="7" t="str">
        <x:v>KGW November 2023 report; estimate dates not supplied</x:v>
      </x:c>
      <x:c r="I1166" s="7" t="str">
        <x:v>https://flo.uri.sh/visualisation/15494950/embed</x:v>
      </x:c>
    </x:row>
    <x:row r="1167" ht="46" customHeight="1">
      <x:c r="A1167" s="8" t="n">
        <x:v>1163</x:v>
      </x:c>
      <x:c r="B1167" s="11" t="str">
        <x:v>Wilshire Park</x:v>
      </x:c>
      <x:c r="C1167" s="11" t="str">
        <x:v>Roof repair replacment</x:v>
      </x:c>
      <x:c r="D1167" s="11" t="str">
        <x:v>Wilshire Park</x:v>
      </x:c>
      <x:c r="E1167" s="11" t="str">
        <x:v>Replace roof at Wilshire Park.  Repair dry rot and gutters, face boards, rafter tails, and 5 doors.  Replaces previous CIP 2287, projects were split out by site.</x:v>
      </x:c>
      <x:c r="F1167" s="20" t="n">
        <x:v>97993</x:v>
      </x:c>
      <x:c r="G1167" s="8" t="str">
        <x:v>Buildings / building systems</x:v>
      </x:c>
      <x:c r="H1167" s="8" t="str">
        <x:v>KGW November 2023 report; estimate dates not supplied</x:v>
      </x:c>
      <x:c r="I1167" s="8" t="str">
        <x:v>https://flo.uri.sh/visualisation/15494950/embed</x:v>
      </x:c>
    </x:row>
    <x:row r="1168" ht="46" customHeight="1">
      <x:c r="A1168" s="7" t="n">
        <x:v>1164</x:v>
      </x:c>
      <x:c r="B1168" s="12" t="str">
        <x:v>Wilshire Park</x:v>
      </x:c>
      <x:c r="C1168" s="12" t="str">
        <x:v>Renovate the Roof of Shelter - Restroom - Storage building</x:v>
      </x:c>
      <x:c r="D1168" s="12" t="str">
        <x:v>Restroom A</x:v>
      </x:c>
      <x:c r="E1168" s="12" t="str">
        <x:v>Fix or replace the Roof that is rated 4 through buildings' assessment</x:v>
      </x:c>
      <x:c r="F1168" s="21" t="n">
        <x:v>434787</x:v>
      </x:c>
      <x:c r="G1168" s="7" t="str">
        <x:v>Buildings / building systems</x:v>
      </x:c>
      <x:c r="H1168" s="7" t="str">
        <x:v>KGW November 2023 report; estimate dates not supplied</x:v>
      </x:c>
      <x:c r="I1168" s="7" t="str">
        <x:v>https://flo.uri.sh/visualisation/15494950/embed</x:v>
      </x:c>
    </x:row>
    <x:row r="1169" ht="46" customHeight="1">
      <x:c r="A1169" s="8" t="n">
        <x:v>1165</x:v>
      </x:c>
      <x:c r="B1169" s="11" t="str">
        <x:v>Wilshire Park</x:v>
      </x:c>
      <x:c r="C1169" s="11" t="str">
        <x:v>Pathway Renovation</x:v>
      </x:c>
      <x:c r="D1169" s="11" t="str">
        <x:v>Wilshire Park</x:v>
      </x:c>
      <x:c r="E1169" s="11" t="str">
        <x:v>Replace the damaged pathway, trails and sidewalks that have been rated as 4 and 5 in Pathway assessment</x:v>
      </x:c>
      <x:c r="F1169" s="20" t="n">
        <x:v>279798</x:v>
      </x:c>
      <x:c r="G1169" s="8" t="str">
        <x:v>Paths / access / bridges</x:v>
      </x:c>
      <x:c r="H1169" s="8" t="str">
        <x:v>KGW November 2023 report; estimate dates not supplied</x:v>
      </x:c>
      <x:c r="I1169" s="8" t="str">
        <x:v>https://flo.uri.sh/visualisation/15494950/embed</x:v>
      </x:c>
    </x:row>
    <x:row r="1170" ht="46" customHeight="1">
      <x:c r="A1170" s="7" t="n">
        <x:v>1166</x:v>
      </x:c>
      <x:c r="B1170" s="12" t="str">
        <x:v>Wilshire Park</x:v>
      </x:c>
      <x:c r="C1170" s="12" t="str">
        <x:v>ESPC-III_Buildings Lighting to LEDs</x:v>
      </x:c>
      <x:c r="D1170" s="12" t="str">
        <x:v>Shelter - Restroom - Storage</x:v>
      </x:c>
      <x:c r="E1170" s="12" t="str">
        <x:v>LED conversion for Exterior and Interior Lights</x:v>
      </x:c>
      <x:c r="F1170" s="21" t="n">
        <x:v>11760</x:v>
      </x:c>
      <x:c r="G1170" s="7" t="str">
        <x:v>Buildings / building systems</x:v>
      </x:c>
      <x:c r="H1170" s="7" t="str">
        <x:v>KGW November 2023 report; estimate dates not supplied</x:v>
      </x:c>
      <x:c r="I1170" s="7" t="str">
        <x:v>https://flo.uri.sh/visualisation/15494950/embed</x:v>
      </x:c>
    </x:row>
    <x:row r="1171" ht="46" customHeight="1">
      <x:c r="A1171" s="8" t="n">
        <x:v>1167</x:v>
      </x:c>
      <x:c r="B1171" s="11" t="str">
        <x:v>Wilshire Park</x:v>
      </x:c>
      <x:c r="C1171" s="11" t="str">
        <x:v>Remove and replace playground equipment</x:v>
      </x:c>
      <x:c r="D1171" s="11" t="str">
        <x:v>Wilshire Park</x:v>
      </x:c>
      <x:c r="E1171" s="11" t="str">
        <x:v>- Remove and replace wooden structure.  Remove and replaced poured in place rubber.  Remove and replace accessible age 2-5 structure.  Expand play area, current area has inadequate range of equipment.  Add significant free play area, per Technical paper.  Note that these improvements could trigger the requirement to bring other aspects of the park up to ADA.
- Temporary removal, excavation, drainage, fabric, rock, chips &amp; replacement of existing swing sets.  Sets were improperly installed on turf with exposed concrete footings close to the fall zone.  Note that these improvements could trigger the requirement to bring other aspects of the park up to ADA.</x:v>
      </x:c>
      <x:c r="F1171" s="20" t="n">
        <x:v>1152611</x:v>
      </x:c>
      <x:c r="G1171" s="8" t="str">
        <x:v>Paths / access / bridges</x:v>
      </x:c>
      <x:c r="H1171" s="8" t="str">
        <x:v>KGW November 2023 report; estimate dates not supplied</x:v>
      </x:c>
      <x:c r="I1171" s="8" t="str">
        <x:v>https://flo.uri.sh/visualisation/15494950/embed</x:v>
      </x:c>
    </x:row>
    <x:row r="1172" ht="46" customHeight="1">
      <x:c r="A1172" s="7" t="n">
        <x:v>1168</x:v>
      </x:c>
      <x:c r="B1172" s="12" t="str">
        <x:v>Woodlawn Elementary School</x:v>
      </x:c>
      <x:c r="C1172" s="12" t="str">
        <x:v>Contribution to school sports field</x:v>
      </x:c>
      <x:c r="D1172" s="12" t="str">
        <x:v>Field</x:v>
      </x:c>
      <x:c r="E1172" s="12" t="str">
        <x:v>- Contribution to school sports fields citywide
- Replaces CIP 2220, projects were split out by site.</x:v>
      </x:c>
      <x:c r="F1172" s="21" t="n">
        <x:v>692709</x:v>
      </x:c>
      <x:c r="G1172" s="7" t="str">
        <x:v>Fields / courts / play</x:v>
      </x:c>
      <x:c r="H1172" s="7" t="str">
        <x:v>KGW November 2023 report; estimate dates not supplied</x:v>
      </x:c>
      <x:c r="I1172" s="7" t="str">
        <x:v>https://flo.uri.sh/visualisation/15494950/embed</x:v>
      </x:c>
    </x:row>
    <x:row r="1173" ht="46" customHeight="1">
      <x:c r="A1173" s="8" t="n">
        <x:v>1169</x:v>
      </x:c>
      <x:c r="B1173" s="11" t="str">
        <x:v>Woodlawn Park</x:v>
      </x:c>
      <x:c r="C1173" s="11" t="str">
        <x:v>Renovate Basketball sport court at Woodlawn Park</x:v>
      </x:c>
      <x:c r="D1173" s="11" t="str">
        <x:v>Basketball Court</x:v>
      </x:c>
      <x:c r="E1173" s="11" t="str">
        <x:v>Fix or replace the Nike Resurf surface of the court that is rated 4 through courts' assessment</x:v>
      </x:c>
      <x:c r="F1173" s="20" t="n">
        <x:v>383648</x:v>
      </x:c>
      <x:c r="G1173" s="8" t="str">
        <x:v>Fields / courts / play</x:v>
      </x:c>
      <x:c r="H1173" s="8" t="str">
        <x:v>KGW November 2023 report; estimate dates not supplied</x:v>
      </x:c>
      <x:c r="I1173" s="8" t="str">
        <x:v>https://flo.uri.sh/visualisation/15494950/embed</x:v>
      </x:c>
    </x:row>
    <x:row r="1174" ht="46" customHeight="1">
      <x:c r="A1174" s="7" t="n">
        <x:v>1170</x:v>
      </x:c>
      <x:c r="B1174" s="12" t="str">
        <x:v>Woodlawn Park</x:v>
      </x:c>
      <x:c r="C1174" s="12" t="str">
        <x:v>Pathway Renovation</x:v>
      </x:c>
      <x:c r="D1174" s="12" t="str">
        <x:v>Woodlawn Park</x:v>
      </x:c>
      <x:c r="E1174" s="12" t="str">
        <x:v>- Replace the damaged pathway, trails and sidewalks that have been rated as 4 and 5 in Pathway assessment
- High risk of tripping hazard because of trees root effect</x:v>
      </x:c>
      <x:c r="F1174" s="21" t="n">
        <x:v>262239</x:v>
      </x:c>
      <x:c r="G1174" s="7" t="str">
        <x:v>Paths / access / bridges</x:v>
      </x:c>
      <x:c r="H1174" s="7" t="str">
        <x:v>KGW November 2023 report; estimate dates not supplied</x:v>
      </x:c>
      <x:c r="I1174" s="7" t="str">
        <x:v>https://flo.uri.sh/visualisation/15494950/embed</x:v>
      </x:c>
    </x:row>
    <x:row r="1175" ht="46" customHeight="1">
      <x:c r="A1175" s="8" t="n">
        <x:v>1171</x:v>
      </x:c>
      <x:c r="B1175" s="11" t="str">
        <x:v>Woodlawn Park</x:v>
      </x:c>
      <x:c r="C1175" s="11" t="str">
        <x:v>Repave and repair pathways</x:v>
      </x:c>
      <x:c r="D1175" s="11" t="str">
        <x:v>Woodlawn Park</x:v>
      </x:c>
      <x:c r="E1175" s="11" t="str">
        <x:v>24% of the pathways in Woodlawn Park are in bad condition and need to redone, and the remaining need to repair to eliminate deficiencies:
Project scope:
1- Replace bad pathway surface pavements appx. 2400 l.ft / 21600 sq.ft 
2- Repair existing pathway surface appx. 7500 L.ft/ 52000 sq.ft</x:v>
      </x:c>
      <x:c r="F1175" s="20" t="n">
        <x:v>176407</x:v>
      </x:c>
      <x:c r="G1175" s="8" t="str">
        <x:v>Paths / access / bridges</x:v>
      </x:c>
      <x:c r="H1175" s="8" t="str">
        <x:v>KGW November 2023 report; estimate dates not supplied</x:v>
      </x:c>
      <x:c r="I1175" s="8" t="str">
        <x:v>https://flo.uri.sh/visualisation/15494950/embed</x:v>
      </x:c>
    </x:row>
    <x:row r="1176" ht="46" customHeight="1">
      <x:c r="A1176" s="7" t="n">
        <x:v>1172</x:v>
      </x:c>
      <x:c r="B1176" s="12" t="str">
        <x:v>Woodlawn Park</x:v>
      </x:c>
      <x:c r="C1176" s="12" t="str">
        <x:v>ESPC-III_Buildings Lighting to LEDs</x:v>
      </x:c>
      <x:c r="D1176" s="12" t="str">
        <x:v>Restroom - Storage - Maintenance</x:v>
      </x:c>
      <x:c r="E1176" s="12" t="str">
        <x:v>LED conversion for Exterior and Interior Lights</x:v>
      </x:c>
      <x:c r="F1176" s="21" t="n">
        <x:v>11760</x:v>
      </x:c>
      <x:c r="G1176" s="7" t="str">
        <x:v>Buildings / building systems</x:v>
      </x:c>
      <x:c r="H1176" s="7" t="str">
        <x:v>KGW November 2023 report; estimate dates not supplied</x:v>
      </x:c>
      <x:c r="I1176" s="7" t="str">
        <x:v>https://flo.uri.sh/visualisation/15494950/embed</x:v>
      </x:c>
    </x:row>
    <x:row r="1177" ht="46" customHeight="1">
      <x:c r="A1177" s="8" t="n">
        <x:v>1173</x:v>
      </x:c>
      <x:c r="B1177" s="11" t="str">
        <x:v>Woodlawn Park</x:v>
      </x:c>
      <x:c r="C1177" s="11" t="str">
        <x:v>Renovate retaining wall</x:v>
      </x:c>
      <x:c r="D1177" s="11" t="str">
        <x:v>Retaining wall</x:v>
      </x:c>
      <x:c r="E1177" s="11" t="str">
        <x:v>investigate and repair or replace retaining walls</x:v>
      </x:c>
      <x:c r="F1177" s="20" t="n">
        <x:v>100000</x:v>
      </x:c>
      <x:c r="G1177" s="8" t="str">
        <x:v>Other site infrastructure</x:v>
      </x:c>
      <x:c r="H1177" s="8" t="str">
        <x:v>KGW November 2023 report; estimate dates not supplied</x:v>
      </x:c>
      <x:c r="I1177" s="8" t="str">
        <x:v>https://flo.uri.sh/visualisation/15494950/embed</x:v>
      </x:c>
    </x:row>
    <x:row r="1178" ht="46" customHeight="1">
      <x:c r="A1178" s="7" t="n">
        <x:v>1174</x:v>
      </x:c>
      <x:c r="B1178" s="12" t="str">
        <x:v>Woodlawn Park</x:v>
      </x:c>
      <x:c r="C1178" s="12" t="str">
        <x:v>Replace Backflow preventer device</x:v>
      </x:c>
      <x:c r="D1178" s="12" t="str">
        <x:v>Irrigation</x:v>
      </x:c>
      <x:c r="E1178" s="12" t="str">
        <x:v>- Replace out of compliance backflow preventer
- Assembly: Double Check Valve Assembly (DCVA)
- Premises Isolation (PI): 3" Reduced Pressure + Enclosure. Serial # 1381
- Move to property line, if needed
- Hazard: Right of Way (ROW)</x:v>
      </x:c>
      <x:c r="F1178" s="21" t="n">
        <x:v>10000</x:v>
      </x:c>
      <x:c r="G1178" s="7" t="str">
        <x:v>Utilities / lighting / drainage</x:v>
      </x:c>
      <x:c r="H1178" s="7" t="str">
        <x:v>KGW November 2023 report; estimate dates not supplied</x:v>
      </x:c>
      <x:c r="I1178" s="7" t="str">
        <x:v>https://flo.uri.sh/visualisation/15494950/embed</x:v>
      </x:c>
    </x:row>
    <x:row r="1179" ht="46" customHeight="1">
      <x:c r="A1179" s="8" t="n">
        <x:v>1175</x:v>
      </x:c>
      <x:c r="B1179" s="11" t="str">
        <x:v>Woods Memorial Natural Area</x:v>
      </x:c>
      <x:c r="C1179" s="11" t="str">
        <x:v>Pathway Renovation</x:v>
      </x:c>
      <x:c r="D1179" s="11" t="str">
        <x:v>Woods Memorial Natural Area</x:v>
      </x:c>
      <x:c r="E1179" s="11" t="str">
        <x:v>Replace the damaged pathway, trails and sidewalks that have been rated as 4 and 5 in Pathway assessment</x:v>
      </x:c>
      <x:c r="F1179" s="20" t="n">
        <x:v>953015</x:v>
      </x:c>
      <x:c r="G1179" s="8" t="str">
        <x:v>Paths / access / bridges</x:v>
      </x:c>
      <x:c r="H1179" s="8" t="str">
        <x:v>KGW November 2023 report; estimate dates not supplied</x:v>
      </x:c>
      <x:c r="I1179" s="8" t="str">
        <x:v>https://flo.uri.sh/visualisation/15494950/embed</x:v>
      </x:c>
    </x:row>
    <x:row r="1180" ht="46" customHeight="1">
      <x:c r="A1180" s="7" t="n">
        <x:v>1176</x:v>
      </x:c>
      <x:c r="B1180" s="12" t="str">
        <x:v>Woods Memorial Natural Area</x:v>
      </x:c>
      <x:c r="C1180" s="12" t="str">
        <x:v>Upsize of storm system</x:v>
      </x:c>
      <x:c r="D1180" s="12" t="str">
        <x:v>Woods Memorial Natural Area</x:v>
      </x:c>
      <x:c r="E1180" s="12" t="str">
        <x:v>Evaluate and Upsize of storm system</x:v>
      </x:c>
      <x:c r="F1180" s="21" t="n">
        <x:v>59967</x:v>
      </x:c>
      <x:c r="G1180" s="7" t="str">
        <x:v>Utilities / lighting / drainage</x:v>
      </x:c>
      <x:c r="H1180" s="7" t="str">
        <x:v>KGW November 2023 report; estimate dates not supplied</x:v>
      </x:c>
      <x:c r="I1180" s="7" t="str">
        <x:v>https://flo.uri.sh/visualisation/15494950/embed</x:v>
      </x:c>
    </x:row>
    <x:row r="1181" ht="46" customHeight="1">
      <x:c r="A1181" s="8" t="n">
        <x:v>1177</x:v>
      </x:c>
      <x:c r="B1181" s="11" t="str">
        <x:v>Woods Memorial Natural Area</x:v>
      </x:c>
      <x:c r="C1181" s="11" t="str">
        <x:v>General Improvements</x:v>
      </x:c>
      <x:c r="D1181" s="11" t="str"/>
      <x:c r="E1181" s="11" t="str">
        <x:v>Management Plan. Trail and Visitor Amenities</x:v>
      </x:c>
      <x:c r="F1181" s="20" t="n">
        <x:v>2314213</x:v>
      </x:c>
      <x:c r="G1181" s="8" t="str">
        <x:v>Paths / access / bridges</x:v>
      </x:c>
      <x:c r="H1181" s="8" t="str">
        <x:v>KGW November 2023 report; estimate dates not supplied</x:v>
      </x:c>
      <x:c r="I1181" s="8" t="str">
        <x:v>https://flo.uri.sh/visualisation/15494950/embed</x:v>
      </x:c>
    </x:row>
    <x:row r="1182" ht="46" customHeight="1">
      <x:c r="A1182" s="7" t="n">
        <x:v>1178</x:v>
      </x:c>
      <x:c r="B1182" s="12" t="str">
        <x:v>Woods Memorial Natural Area</x:v>
      </x:c>
      <x:c r="C1182" s="12" t="str">
        <x:v>Repair pedestrian bridge</x:v>
      </x:c>
      <x:c r="D1182" s="12" t="str">
        <x:v>Pedestrian bridge</x:v>
      </x:c>
      <x:c r="E1182" s="12" t="str">
        <x:v>Renovate Complex and Major bridges that was rated as 4-5 in bridge condition assessment 2021</x:v>
      </x:c>
      <x:c r="F1182" s="21" t="n">
        <x:v>16183</x:v>
      </x:c>
      <x:c r="G1182" s="7" t="str">
        <x:v>Paths / access / bridges</x:v>
      </x:c>
      <x:c r="H1182" s="7" t="str">
        <x:v>KGW November 2023 report; estimate dates not supplied</x:v>
      </x:c>
      <x:c r="I1182" s="7" t="str">
        <x:v>https://flo.uri.sh/visualisation/15494950/embed</x:v>
      </x:c>
    </x:row>
    <x:row r="1183" ht="46" customHeight="1">
      <x:c r="A1183" s="8" t="n">
        <x:v>1179</x:v>
      </x:c>
      <x:c r="B1183" s="11" t="str">
        <x:v>Woods Memorial Natural Area</x:v>
      </x:c>
      <x:c r="C1183" s="11" t="str">
        <x:v>Ecological Restoration_ Woods Memorial Natural Area</x:v>
      </x:c>
      <x:c r="D1183" s="11" t="str"/>
      <x:c r="E1183" s="11" t="str">
        <x:v>Placholder for Ecological health restoration</x:v>
      </x:c>
      <x:c r="F1183" s="20" t="n">
        <x:v>147006</x:v>
      </x:c>
      <x:c r="G1183" s="8" t="str">
        <x:v>Other site infrastructure</x:v>
      </x:c>
      <x:c r="H1183" s="8" t="str">
        <x:v>KGW November 2023 report; estimate dates not supplied</x:v>
      </x:c>
      <x:c r="I1183" s="8" t="str">
        <x:v>https://flo.uri.sh/visualisation/15494950/embed</x:v>
      </x:c>
    </x:row>
    <x:row r="1184" ht="46" customHeight="1">
      <x:c r="A1184" s="7" t="n">
        <x:v>1180</x:v>
      </x:c>
      <x:c r="B1184" s="12" t="str">
        <x:v>Woodstock Community Center</x:v>
      </x:c>
      <x:c r="C1184" s="12" t="str">
        <x:v>Replace old HVAC system</x:v>
      </x:c>
      <x:c r="D1184" s="12" t="str">
        <x:v>Woodstock Community Center</x:v>
      </x:c>
      <x:c r="E1184" s="12" t="str">
        <x:v>Placeholder: replace or upgrade HVAC system that was installed before 2000</x:v>
      </x:c>
      <x:c r="F1184" s="21" t="n">
        <x:v>110034</x:v>
      </x:c>
      <x:c r="G1184" s="7" t="str">
        <x:v>Buildings / building systems</x:v>
      </x:c>
      <x:c r="H1184" s="7" t="str">
        <x:v>KGW November 2023 report; estimate dates not supplied</x:v>
      </x:c>
      <x:c r="I1184" s="7" t="str">
        <x:v>https://flo.uri.sh/visualisation/15494950/embed</x:v>
      </x:c>
    </x:row>
    <x:row r="1185" ht="46" customHeight="1">
      <x:c r="A1185" s="8" t="n">
        <x:v>1181</x:v>
      </x:c>
      <x:c r="B1185" s="11" t="str">
        <x:v>Woodstock Community Center</x:v>
      </x:c>
      <x:c r="C1185" s="11" t="str">
        <x:v>ESPC-III_Buildings Lighting to LEDs</x:v>
      </x:c>
      <x:c r="D1185" s="11" t="str">
        <x:v>Community Center</x:v>
      </x:c>
      <x:c r="E1185" s="11" t="str">
        <x:v>LED conversion for Exterior and Interior Lights</x:v>
      </x:c>
      <x:c r="F1185" s="20" t="n">
        <x:v>11760</x:v>
      </x:c>
      <x:c r="G1185" s="8" t="str">
        <x:v>Buildings / building systems</x:v>
      </x:c>
      <x:c r="H1185" s="8" t="str">
        <x:v>KGW November 2023 report; estimate dates not supplied</x:v>
      </x:c>
      <x:c r="I1185" s="8" t="str">
        <x:v>https://flo.uri.sh/visualisation/15494950/embed</x:v>
      </x:c>
    </x:row>
    <x:row r="1186" ht="46" customHeight="1">
      <x:c r="A1186" s="7" t="n">
        <x:v>1182</x:v>
      </x:c>
      <x:c r="B1186" s="12" t="str">
        <x:v>Woodstock Community Center</x:v>
      </x:c>
      <x:c r="C1186" s="12" t="str">
        <x:v>Renovate the Roof of Community Center building</x:v>
      </x:c>
      <x:c r="D1186" s="12" t="str">
        <x:v>Woodstock Community Center</x:v>
      </x:c>
      <x:c r="E1186" s="12" t="str">
        <x:v>Fix or replace the Roof that is rated 4 through buildings' assessment</x:v>
      </x:c>
      <x:c r="F1186" s="21" t="n">
        <x:v>1025284</x:v>
      </x:c>
      <x:c r="G1186" s="7" t="str">
        <x:v>Buildings / building systems</x:v>
      </x:c>
      <x:c r="H1186" s="7" t="str">
        <x:v>KGW November 2023 report; estimate dates not supplied</x:v>
      </x:c>
      <x:c r="I1186" s="7" t="str">
        <x:v>https://flo.uri.sh/visualisation/15494950/embed</x:v>
      </x:c>
    </x:row>
    <x:row r="1187" ht="46" customHeight="1">
      <x:c r="A1187" s="8" t="n">
        <x:v>1183</x:v>
      </x:c>
      <x:c r="B1187" s="11" t="str">
        <x:v>Woodstock Park</x:v>
      </x:c>
      <x:c r="C1187" s="11" t="str">
        <x:v>Play Area Safety and ADA</x:v>
      </x:c>
      <x:c r="D1187" s="11" t="str">
        <x:v>Woodstock Park</x:v>
      </x:c>
      <x:c r="E1187" s="11" t="str">
        <x:v>- Remove old eqpt and install new ADA-compliant equipment w/ safety mats w/ swingset &amp; whirl - cost = avg. of other Repair projects.  
- Expand play area, current area has inadquate range of equipment.  Add significant free play area, per Technical Paper.
- Play Structures- Playhouse- post for climber portion of playhouse are rotted and need to be replaced. This entire structure is at the end of its lifespan and should be completely replaced.</x:v>
      </x:c>
      <x:c r="F1187" s="20" t="n">
        <x:v>935695</x:v>
      </x:c>
      <x:c r="G1187" s="8" t="str">
        <x:v>Buildings / building systems</x:v>
      </x:c>
      <x:c r="H1187" s="8" t="str">
        <x:v>KGW November 2023 report; estimate dates not supplied</x:v>
      </x:c>
      <x:c r="I1187" s="8" t="str">
        <x:v>https://flo.uri.sh/visualisation/15494950/embed</x:v>
      </x:c>
    </x:row>
    <x:row r="1188" ht="46" customHeight="1">
      <x:c r="A1188" s="7" t="n">
        <x:v>1184</x:v>
      </x:c>
      <x:c r="B1188" s="12" t="str">
        <x:v>Woodstock Park</x:v>
      </x:c>
      <x:c r="C1188" s="12" t="str">
        <x:v>Pathway Renovation</x:v>
      </x:c>
      <x:c r="D1188" s="12" t="str">
        <x:v>Woodstock Park</x:v>
      </x:c>
      <x:c r="E1188" s="12" t="str">
        <x:v>Replace the damaged pathway, trails and sidewalks that have been rated as 5 in Pathway assessment.</x:v>
      </x:c>
      <x:c r="F1188" s="21" t="n">
        <x:v>80195</x:v>
      </x:c>
      <x:c r="G1188" s="7" t="str">
        <x:v>Paths / access / bridges</x:v>
      </x:c>
      <x:c r="H1188" s="7" t="str">
        <x:v>KGW November 2023 report; estimate dates not supplied</x:v>
      </x:c>
      <x:c r="I1188" s="7" t="str">
        <x:v>https://flo.uri.sh/visualisation/15494950/embed</x:v>
      </x:c>
    </x:row>
    <x:row r="1189" ht="46" customHeight="1">
      <x:c r="A1189" s="8" t="n">
        <x:v>1185</x:v>
      </x:c>
      <x:c r="B1189" s="11" t="str">
        <x:v>Woodstock Park</x:v>
      </x:c>
      <x:c r="C1189" s="11" t="str">
        <x:v>Change light poles base connection</x:v>
      </x:c>
      <x:c r="D1189" s="11" t="str">
        <x:v>Light poles</x:v>
      </x:c>
      <x:c r="E1189" s="11" t="str">
        <x:v>Case: Some light poles are connected to the footing by steel wires that deteriorating over time because of water/moisture influence. Additionally , these bases are not designed for lateral loads produced by wind and other tension equipment. 
Proposal: replace wire type connection by other type that resist coded lateral loads and more durable against environmental effects
Number of poles is 26 approximately with estimated cost $3000/ pole.</x:v>
      </x:c>
      <x:c r="F1189" s="20" t="n">
        <x:v>79560</x:v>
      </x:c>
      <x:c r="G1189" s="8" t="str">
        <x:v>Utilities / lighting / drainage</x:v>
      </x:c>
      <x:c r="H1189" s="8" t="str">
        <x:v>KGW November 2023 report; estimate dates not supplied</x:v>
      </x:c>
      <x:c r="I1189" s="8" t="str">
        <x:v>https://flo.uri.sh/visualisation/15494950/embed</x:v>
      </x:c>
    </x:row>
    <x:row r="1190" ht="46" customHeight="1">
      <x:c r="A1190" s="7" t="n">
        <x:v>1186</x:v>
      </x:c>
      <x:c r="B1190" s="12" t="str">
        <x:v>Woodstock Park</x:v>
      </x:c>
      <x:c r="C1190" s="12" t="str">
        <x:v>Renovate the Roof of Restroom - Storage building</x:v>
      </x:c>
      <x:c r="D1190" s="12" t="str">
        <x:v>Restroom B</x:v>
      </x:c>
      <x:c r="E1190" s="12" t="str">
        <x:v>Fix or replace the Roof that is rated 4 through buildings' assessment</x:v>
      </x:c>
      <x:c r="F1190" s="21" t="n">
        <x:v>68014</x:v>
      </x:c>
      <x:c r="G1190" s="7" t="str">
        <x:v>Buildings / building systems</x:v>
      </x:c>
      <x:c r="H1190" s="7" t="str">
        <x:v>KGW November 2023 report; estimate dates not supplied</x:v>
      </x:c>
      <x:c r="I1190" s="7" t="str">
        <x:v>https://flo.uri.sh/visualisation/15494950/embed</x:v>
      </x:c>
    </x:row>
    <x:row r="1191" ht="46" customHeight="1">
      <x:c r="A1191" s="8" t="n">
        <x:v>1187</x:v>
      </x:c>
      <x:c r="B1191" s="11" t="str">
        <x:v>Woodstock Park</x:v>
      </x:c>
      <x:c r="C1191" s="11" t="str">
        <x:v>Irrigation system upgrade</x:v>
      </x:c>
      <x:c r="D1191" s="11" t="str"/>
      <x:c r="E1191" s="11" t="str">
        <x:v>Irrigation system upgrade. Replaces CIP 1972, projects were split out.</x:v>
      </x:c>
      <x:c r="F1191" s="20" t="n">
        <x:v>67647</x:v>
      </x:c>
      <x:c r="G1191" s="8" t="str">
        <x:v>Utilities / lighting / drainage</x:v>
      </x:c>
      <x:c r="H1191" s="8" t="str">
        <x:v>KGW November 2023 report; estimate dates not supplied</x:v>
      </x:c>
      <x:c r="I1191" s="8" t="str">
        <x:v>https://flo.uri.sh/visualisation/15494950/embed</x:v>
      </x:c>
    </x:row>
    <x:row r="1192" ht="46" customHeight="1">
      <x:c r="A1192" s="7" t="n">
        <x:v>1188</x:v>
      </x:c>
      <x:c r="B1192" s="12" t="str">
        <x:v>Woodstock Park</x:v>
      </x:c>
      <x:c r="C1192" s="12" t="str">
        <x:v>Picnic area renovation</x:v>
      </x:c>
      <x:c r="D1192" s="12" t="str">
        <x:v>Woodstock Park</x:v>
      </x:c>
      <x:c r="E1192" s="12" t="str">
        <x:v>Picnic area renvoation.  Replaces CIP 1972, projects were split out.</x:v>
      </x:c>
      <x:c r="F1192" s="21" t="n">
        <x:v>27970</x:v>
      </x:c>
      <x:c r="G1192" s="7" t="str">
        <x:v>Other site infrastructure</x:v>
      </x:c>
      <x:c r="H1192" s="7" t="str">
        <x:v>KGW November 2023 report; estimate dates not supplied</x:v>
      </x:c>
      <x:c r="I1192" s="7" t="str">
        <x:v>https://flo.uri.sh/visualisation/15494950/embed</x:v>
      </x:c>
    </x:row>
    <x:row r="1193" ht="46" customHeight="1">
      <x:c r="A1193" s="8" t="n">
        <x:v>1189</x:v>
      </x:c>
      <x:c r="B1193" s="11" t="str">
        <x:v>Woodstock Park</x:v>
      </x:c>
      <x:c r="C1193" s="11" t="str">
        <x:v>Roof Replacement</x:v>
      </x:c>
      <x:c r="D1193" s="11" t="str"/>
      <x:c r="E1193" s="11" t="str">
        <x:v>Roof in Bad condition and rated as bad through condition aseesment</x:v>
      </x:c>
      <x:c r="F1193" s="20" t="n">
        <x:v>23987</x:v>
      </x:c>
      <x:c r="G1193" s="8" t="str">
        <x:v>Buildings / building systems</x:v>
      </x:c>
      <x:c r="H1193" s="8" t="str">
        <x:v>KGW November 2023 report; estimate dates not supplied</x:v>
      </x:c>
      <x:c r="I1193" s="8" t="str">
        <x:v>https://flo.uri.sh/visualisation/15494950/embed</x:v>
      </x:c>
    </x:row>
    <x:row r="1194" ht="46" customHeight="1">
      <x:c r="A1194" s="7" t="n">
        <x:v>1190</x:v>
      </x:c>
      <x:c r="B1194" s="12" t="str">
        <x:v>Woodstock Park</x:v>
      </x:c>
      <x:c r="C1194" s="12" t="str">
        <x:v>Tennis Courts Resurface</x:v>
      </x:c>
      <x:c r="D1194" s="12" t="str">
        <x:v>Woodstock Park</x:v>
      </x:c>
      <x:c r="E1194" s="12" t="str">
        <x:v>Resurface tennis courts.</x:v>
      </x:c>
      <x:c r="F1194" s="21" t="n">
        <x:v>22929</x:v>
      </x:c>
      <x:c r="G1194" s="7" t="str">
        <x:v>Fields / courts / play</x:v>
      </x:c>
      <x:c r="H1194" s="7" t="str">
        <x:v>KGW November 2023 report; estimate dates not supplied</x:v>
      </x:c>
      <x:c r="I1194" s="7" t="str">
        <x:v>https://flo.uri.sh/visualisation/15494950/embed</x:v>
      </x:c>
    </x:row>
    <x:row r="1195" ht="46" customHeight="1">
      <x:c r="A1195" s="8" t="n">
        <x:v>1191</x:v>
      </x:c>
      <x:c r="B1195" s="11" t="str">
        <x:v>Woodstock Park</x:v>
      </x:c>
      <x:c r="C1195" s="11" t="str">
        <x:v>Lighting renovation and extension</x:v>
      </x:c>
      <x:c r="D1195" s="11" t="str">
        <x:v>Woodstock Park</x:v>
      </x:c>
      <x:c r="E1195" s="11" t="str">
        <x:v>Lighting system renovation and extension.  Replaces CIP 1972, projects were split out.</x:v>
      </x:c>
      <x:c r="F1195" s="20" t="n">
        <x:v>22376</x:v>
      </x:c>
      <x:c r="G1195" s="8" t="str">
        <x:v>Utilities / lighting / drainage</x:v>
      </x:c>
      <x:c r="H1195" s="8" t="str">
        <x:v>KGW November 2023 report; estimate dates not supplied</x:v>
      </x:c>
      <x:c r="I1195" s="8" t="str">
        <x:v>https://flo.uri.sh/visualisation/15494950/embed</x:v>
      </x:c>
    </x:row>
    <x:row r="1196" ht="46" customHeight="1">
      <x:c r="A1196" s="7" t="n">
        <x:v>1192</x:v>
      </x:c>
      <x:c r="B1196" s="12" t="str">
        <x:v>Woodstock Park</x:v>
      </x:c>
      <x:c r="C1196" s="12" t="str">
        <x:v>ESPC-II_ Woodstock Park</x:v>
      </x:c>
      <x:c r="D1196" s="12" t="str"/>
      <x:c r="E1196" s="12" t="str">
        <x:v>Woodstock Park - Retro commission all irrigation sprinkler systems and heads to ensure proper thrown and timing. Replace 10% of all rotary and spray heads.. FIM Name: 18.10-0868 Irrigation System Improvements</x:v>
      </x:c>
      <x:c r="F1196" s="21" t="n">
        <x:v>11101</x:v>
      </x:c>
      <x:c r="G1196" s="7" t="str">
        <x:v>Utilities / lighting / drainage</x:v>
      </x:c>
      <x:c r="H1196" s="7" t="str">
        <x:v>KGW November 2023 report; estimate dates not supplied</x:v>
      </x:c>
      <x:c r="I1196" s="7" t="str">
        <x:v>https://flo.uri.sh/visualisation/15494950/embed</x:v>
      </x:c>
    </x:row>
    <x:row r="1197" ht="46" customHeight="1">
      <x:c r="A1197" s="8" t="n">
        <x:v>1193</x:v>
      </x:c>
      <x:c r="B1197" s="11" t="str">
        <x:v>Woodstock Park</x:v>
      </x:c>
      <x:c r="C1197" s="11" t="str">
        <x:v>ESPC-II_ Woodstock Park</x:v>
      </x:c>
      <x:c r="D1197" s="11" t="str"/>
      <x:c r="E1197" s="11" t="str">
        <x:v>Convert existing lighting to LED technology via a re-lamp approach.. FIM Name: 09.06-0868 Building Interior Lighting LED Conversion</x:v>
      </x:c>
      <x:c r="F1197" s="20" t="n">
        <x:v>1750</x:v>
      </x:c>
      <x:c r="G1197" s="8" t="str">
        <x:v>Buildings / building systems</x:v>
      </x:c>
      <x:c r="H1197" s="8" t="str">
        <x:v>KGW November 2023 report; estimate dates not supplied</x:v>
      </x:c>
      <x:c r="I1197" s="8" t="str">
        <x:v>https://flo.uri.sh/visualisation/15494950/embed</x:v>
      </x:c>
    </x:row>
    <x:row r="1198" ht="46" customHeight="1">
      <x:c r="A1198" s="7" t="n">
        <x:v>1194</x:v>
      </x:c>
      <x:c r="B1198" s="12" t="str">
        <x:v>Woodstock Park</x:v>
      </x:c>
      <x:c r="C1198" s="12" t="str">
        <x:v>ESPC-II_ Woodstock Park</x:v>
      </x:c>
      <x:c r="D1198" s="12" t="str"/>
      <x:c r="E1198" s="12" t="str">
        <x:v>Install low flow aerators, low flow shower heads, and RCx water closet flush valves.. FIM Name: 18.00-0868 Water Fixture Retrofits</x:v>
      </x:c>
      <x:c r="F1198" s="21" t="n">
        <x:v>1542</x:v>
      </x:c>
      <x:c r="G1198" s="7" t="str">
        <x:v>Utilities / lighting / drainage</x:v>
      </x:c>
      <x:c r="H1198" s="7" t="str">
        <x:v>KGW November 2023 report; estimate dates not supplied</x:v>
      </x:c>
      <x:c r="I1198" s="7" t="str">
        <x:v>https://flo.uri.sh/visualisation/15494950/embed</x:v>
      </x:c>
    </x:row>
    <x:row r="1199" ht="46" customHeight="1">
      <x:c r="A1199" s="8" t="n">
        <x:v>1195</x:v>
      </x:c>
      <x:c r="B1199" s="11" t="str">
        <x:v>Wright Island</x:v>
      </x:c>
      <x:c r="C1199" s="11" t="str">
        <x:v>Ecological Restoration_ Wright Island</x:v>
      </x:c>
      <x:c r="D1199" s="11" t="str"/>
      <x:c r="E1199" s="11" t="str">
        <x:v>Placholder for Ecological health restoration
Part of (Moore &amp; Wright Islands) project</x:v>
      </x:c>
      <x:c r="F1199" s="20" t="n">
        <x:v>73503</x:v>
      </x:c>
      <x:c r="G1199" s="8" t="str">
        <x:v>Other site infrastructure</x:v>
      </x:c>
      <x:c r="H1199" s="8" t="str">
        <x:v>KGW November 2023 report; estimate dates not supplied</x:v>
      </x:c>
      <x:c r="I1199" s="8" t="str">
        <x:v>https://flo.uri.sh/visualisation/15494950/embed</x:v>
      </x:c>
    </x:row>
  </x:sheetData>
  <x:mergeCells>
    <x:mergeCell ref="A2:I2"/>
  </x:mergeCells>
  <x:pageMargins left="0.7" right="0.7" top="0.75" bottom="0.75" header="0.3" footer="0.3"/>
  <x:tableParts count="1">
    <x:tablePart xmlns:r="http://schemas.openxmlformats.org/officeDocument/2006/relationships" r:id="R99c64c2dca4546dd"/>
  </x:tableParts>
</x:worksheet>
</file>

<file path=xl/worksheets/sheet9.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4" hidden="0" customWidth="1"/>
    <x:col min="2" max="2" width="40" hidden="0" customWidth="1"/>
    <x:col min="3" max="3" width="24" hidden="0" customWidth="1"/>
    <x:col min="4" max="4" width="18" hidden="0" customWidth="1"/>
    <x:col min="5" max="5" width="18" hidden="0" customWidth="1"/>
    <x:col min="6" max="6" width="24" hidden="0" customWidth="1"/>
    <x:col min="7" max="7" width="27" hidden="0" customWidth="1"/>
    <x:col min="8" max="8" width="40" hidden="0" customWidth="1"/>
    <x:col min="9" max="9" width="25" hidden="0" customWidth="1"/>
    <x:col min="10" max="10" width="65" hidden="0" customWidth="1"/>
    <x:col min="11" max="11" width="80" hidden="0" customWidth="1"/>
  </x:cols>
  <x:sheetData>
    <x:row r="1" ht="32" customHeight="1">
      <x:c r="A1" s="1" t="str">
        <x:v>Use evidence</x:v>
      </x:c>
    </x:row>
    <x:row r="2" ht="42" customHeight="1">
      <x:c r="A2" s="3" t="str">
        <x:v>Atlas September 2026 evidence matrix. Program sections, permit products and reservations are not attendance. Missing data is not zero use.</x:v>
      </x:c>
      <x:c r="B2" s="3"/>
      <x:c r="C2" s="3"/>
      <x:c r="D2" s="3"/>
      <x:c r="E2" s="3"/>
      <x:c r="F2" s="3"/>
      <x:c r="G2" s="3"/>
      <x:c r="H2" s="3"/>
      <x:c r="I2" s="3"/>
      <x:c r="J2" s="3"/>
      <x:c r="K2" s="3"/>
    </x:row>
    <x:row r="4" ht="34" customHeight="1">
      <x:c r="A4" s="6" t="str">
        <x:v>Property ID</x:v>
      </x:c>
      <x:c r="B4" s="6" t="str">
        <x:v>Property</x:v>
      </x:c>
      <x:c r="C4" s="6" t="str">
        <x:v>Type</x:v>
      </x:c>
      <x:c r="D4" s="6" t="str">
        <x:v>Entry status</x:v>
      </x:c>
      <x:c r="E4" s="6" t="str">
        <x:v>Program sections</x:v>
      </x:c>
      <x:c r="F4" s="6" t="str">
        <x:v>Reservation catalog sites</x:v>
      </x:c>
      <x:c r="G4" s="6" t="str">
        <x:v>Physical reservation resources</x:v>
      </x:c>
      <x:c r="H4" s="6" t="str">
        <x:v>Attendance evidence</x:v>
      </x:c>
      <x:c r="I4" s="6" t="str">
        <x:v>Utilization evidence</x:v>
      </x:c>
      <x:c r="J4" s="6" t="str">
        <x:v>Public hours</x:v>
      </x:c>
      <x:c r="K4" s="6" t="str">
        <x:v>Source</x:v>
      </x:c>
    </x:row>
    <x:row r="5" ht="23" customHeight="1">
      <x:c r="A5" s="8" t="str">
        <x:v>31</x:v>
      </x:c>
      <x:c r="B5" s="8" t="str">
        <x:v>'Scht Wiwnu Park</x:v>
      </x:c>
      <x:c r="C5" s="8" t="str">
        <x:v>developed-park</x:v>
      </x:c>
      <x:c r="D5" s="8" t="str">
        <x:v>public</x:v>
      </x:c>
      <x:c r="E5" s="8" t="n">
        <x:v>0</x:v>
      </x:c>
      <x:c r="F5" s="8" t="n">
        <x:v>0</x:v>
      </x:c>
      <x:c r="G5" s="8" t="n">
        <x:v>0</x:v>
      </x:c>
      <x:c r="H5" s="8" t="str">
        <x:v>not_verified_at_property_level</x:v>
      </x:c>
      <x:c r="I5" s="8" t="str">
        <x:v>Not verified</x:v>
      </x:c>
      <x:c r="J5" s="8" t="str">
        <x:v>Park hours: 5am to midnight</x:v>
      </x:c>
      <x:c r="K5" s="8" t="str">
        <x:v>https://www.portland.gov/parks/scht-wiwnu-park</x:v>
      </x:c>
    </x:row>
    <x:row r="6" ht="23" customHeight="1">
      <x:c r="A6" s="7" t="str">
        <x:v>48</x:v>
      </x:c>
      <x:c r="B6" s="7" t="str">
        <x:v>Albert Kelly Park</x:v>
      </x:c>
      <x:c r="C6" s="7" t="str">
        <x:v>developed-park</x:v>
      </x:c>
      <x:c r="D6" s="7" t="str">
        <x:v>public</x:v>
      </x:c>
      <x:c r="E6" s="7" t="n">
        <x:v>0</x:v>
      </x:c>
      <x:c r="F6" s="7" t="n">
        <x:v>0</x:v>
      </x:c>
      <x:c r="G6" s="7" t="n">
        <x:v>0</x:v>
      </x:c>
      <x:c r="H6" s="7" t="str">
        <x:v>not_verified_at_property_level</x:v>
      </x:c>
      <x:c r="I6" s="7" t="str">
        <x:v>Not verified</x:v>
      </x:c>
      <x:c r="J6" s="7" t="str">
        <x:v>Park hours: 5am to midnight</x:v>
      </x:c>
      <x:c r="K6" s="7" t="str">
        <x:v>https://www.portland.gov/parks/albert-kelly-park</x:v>
      </x:c>
    </x:row>
    <x:row r="7" ht="23" customHeight="1">
      <x:c r="A7" s="8" t="str">
        <x:v>49</x:v>
      </x:c>
      <x:c r="B7" s="8" t="str">
        <x:v>Alberta Park</x:v>
      </x:c>
      <x:c r="C7" s="8" t="str">
        <x:v>developed-park</x:v>
      </x:c>
      <x:c r="D7" s="8" t="str">
        <x:v>public</x:v>
      </x:c>
      <x:c r="E7" s="8" t="n">
        <x:v>0</x:v>
      </x:c>
      <x:c r="F7" s="8" t="n">
        <x:v>0</x:v>
      </x:c>
      <x:c r="G7" s="8" t="n">
        <x:v>0</x:v>
      </x:c>
      <x:c r="H7" s="8" t="str">
        <x:v>not_verified_at_property_level</x:v>
      </x:c>
      <x:c r="I7" s="8" t="str">
        <x:v>Not verified</x:v>
      </x:c>
      <x:c r="J7" s="8" t="str">
        <x:v>Park hours: 5:00am-midnight To reserve a sports field, call 503-823-2525.</x:v>
      </x:c>
      <x:c r="K7" s="8" t="str">
        <x:v>https://www.portland.gov/parks/alberta-park</x:v>
      </x:c>
    </x:row>
    <x:row r="8" ht="23" customHeight="1">
      <x:c r="A8" s="7" t="str">
        <x:v>1322</x:v>
      </x:c>
      <x:c r="B8" s="7" t="str">
        <x:v>Alder Ridge Natural Area</x:v>
      </x:c>
      <x:c r="C8" s="7" t="str">
        <x:v>natural-area</x:v>
      </x:c>
      <x:c r="D8" s="7" t="str">
        <x:v>unverified</x:v>
      </x:c>
      <x:c r="E8" s="7" t="n">
        <x:v>0</x:v>
      </x:c>
      <x:c r="F8" s="7" t="n">
        <x:v>0</x:v>
      </x:c>
      <x:c r="G8" s="7" t="n">
        <x:v>0</x:v>
      </x:c>
      <x:c r="H8" s="7" t="str">
        <x:v>not_verified_at_property_level</x:v>
      </x:c>
      <x:c r="I8" s="7" t="str">
        <x:v>Not verified</x:v>
      </x:c>
      <x:c r="J8" s="7" t="str"/>
      <x:c r="K8" s="7" t="str"/>
    </x:row>
    <x:row r="9" ht="23" customHeight="1">
      <x:c r="A9" s="8" t="str">
        <x:v>50</x:v>
      </x:c>
      <x:c r="B9" s="8" t="str">
        <x:v>Ankeny Plaza</x:v>
      </x:c>
      <x:c r="C9" s="8" t="str">
        <x:v>plaza-memorial</x:v>
      </x:c>
      <x:c r="D9" s="8" t="str">
        <x:v>public</x:v>
      </x:c>
      <x:c r="E9" s="8" t="n">
        <x:v>0</x:v>
      </x:c>
      <x:c r="F9" s="8" t="n">
        <x:v>0</x:v>
      </x:c>
      <x:c r="G9" s="8" t="n">
        <x:v>0</x:v>
      </x:c>
      <x:c r="H9" s="8" t="str">
        <x:v>not_verified_at_property_level</x:v>
      </x:c>
      <x:c r="I9" s="8" t="str">
        <x:v>Not verified</x:v>
      </x:c>
      <x:c r="J9" s="8" t="str">
        <x:v>Park hours: 5:00am-midnight</x:v>
      </x:c>
      <x:c r="K9" s="8" t="str">
        <x:v>https://www.portland.gov/parks/ankeny-plaza</x:v>
      </x:c>
    </x:row>
    <x:row r="10" ht="23" customHeight="1">
      <x:c r="A10" s="7" t="str">
        <x:v>51</x:v>
      </x:c>
      <x:c r="B10" s="7" t="str">
        <x:v>April Hill Park</x:v>
      </x:c>
      <x:c r="C10" s="7" t="str">
        <x:v>developed-park</x:v>
      </x:c>
      <x:c r="D10" s="7" t="str">
        <x:v>public</x:v>
      </x:c>
      <x:c r="E10" s="7" t="n">
        <x:v>0</x:v>
      </x:c>
      <x:c r="F10" s="7" t="n">
        <x:v>0</x:v>
      </x:c>
      <x:c r="G10" s="7" t="n">
        <x:v>0</x:v>
      </x:c>
      <x:c r="H10" s="7" t="str">
        <x:v>not_verified_at_property_level</x:v>
      </x:c>
      <x:c r="I10" s="7" t="str">
        <x:v>Not verified</x:v>
      </x:c>
      <x:c r="J10" s="7" t="str">
        <x:v>Park hours: 5:00am-midnight To reserve a sports field, call 503-823-2525.</x:v>
      </x:c>
      <x:c r="K10" s="7" t="str">
        <x:v>https://www.portland.gov/parks/april-hill-park</x:v>
      </x:c>
    </x:row>
    <x:row r="11" ht="23" customHeight="1">
      <x:c r="A11" s="8" t="str">
        <x:v>52</x:v>
      </x:c>
      <x:c r="B11" s="8" t="str">
        <x:v>Arbor Lodge Park</x:v>
      </x:c>
      <x:c r="C11" s="8" t="str">
        <x:v>developed-park</x:v>
      </x:c>
      <x:c r="D11" s="8" t="str">
        <x:v>public</x:v>
      </x:c>
      <x:c r="E11" s="8" t="n">
        <x:v>0</x:v>
      </x:c>
      <x:c r="F11" s="8" t="n">
        <x:v>0</x:v>
      </x:c>
      <x:c r="G11" s="8" t="n">
        <x:v>0</x:v>
      </x:c>
      <x:c r="H11" s="8" t="str">
        <x:v>not_verified_at_property_level</x:v>
      </x:c>
      <x:c r="I11" s="8" t="str">
        <x:v>Not verified</x:v>
      </x:c>
      <x:c r="J11" s="8" t="str">
        <x:v>Park hours: 5:00am-midnight To reserve a sports field, call 503-823-2525.</x:v>
      </x:c>
      <x:c r="K11" s="8" t="str">
        <x:v>https://www.portland.gov/parks/arbor-lodge-park</x:v>
      </x:c>
    </x:row>
    <x:row r="12" ht="23" customHeight="1">
      <x:c r="A12" s="7" t="str">
        <x:v>53</x:v>
      </x:c>
      <x:c r="B12" s="7" t="str">
        <x:v>Argay Park</x:v>
      </x:c>
      <x:c r="C12" s="7" t="str">
        <x:v>developed-park</x:v>
      </x:c>
      <x:c r="D12" s="7" t="str">
        <x:v>public</x:v>
      </x:c>
      <x:c r="E12" s="7" t="n">
        <x:v>0</x:v>
      </x:c>
      <x:c r="F12" s="7" t="n">
        <x:v>0</x:v>
      </x:c>
      <x:c r="G12" s="7" t="n">
        <x:v>0</x:v>
      </x:c>
      <x:c r="H12" s="7" t="str">
        <x:v>not_verified_at_property_level</x:v>
      </x:c>
      <x:c r="I12" s="7" t="str">
        <x:v>Not verified</x:v>
      </x:c>
      <x:c r="J12" s="7" t="str">
        <x:v>Park hours: 5:00am-midnight. No parking on park side of street after 10:00pm. To reserve a sports field, call 503-823-2525.</x:v>
      </x:c>
      <x:c r="K12" s="7" t="str">
        <x:v>https://www.portland.gov/parks/argay-park</x:v>
      </x:c>
    </x:row>
    <x:row r="13" ht="23" customHeight="1">
      <x:c r="A13" s="8" t="str">
        <x:v>1221</x:v>
      </x:c>
      <x:c r="B13" s="8" t="str">
        <x:v>Arnold Creek Natural Area</x:v>
      </x:c>
      <x:c r="C13" s="8" t="str">
        <x:v>natural-area</x:v>
      </x:c>
      <x:c r="D13" s="8" t="str">
        <x:v>unverified</x:v>
      </x:c>
      <x:c r="E13" s="8" t="n">
        <x:v>0</x:v>
      </x:c>
      <x:c r="F13" s="8" t="n">
        <x:v>0</x:v>
      </x:c>
      <x:c r="G13" s="8" t="n">
        <x:v>0</x:v>
      </x:c>
      <x:c r="H13" s="8" t="str">
        <x:v>not_verified_at_property_level</x:v>
      </x:c>
      <x:c r="I13" s="8" t="str">
        <x:v>Not verified</x:v>
      </x:c>
      <x:c r="J13" s="8" t="str"/>
      <x:c r="K13" s="8" t="str">
        <x:v>https://www.portland.gov/parks/arnold-creek-natural-area</x:v>
      </x:c>
    </x:row>
    <x:row r="14" ht="23" customHeight="1">
      <x:c r="A14" s="7" t="str">
        <x:v>55</x:v>
      </x:c>
      <x:c r="B14" s="7" t="str">
        <x:v>Ash Creek Natural Area</x:v>
      </x:c>
      <x:c r="C14" s="7" t="str">
        <x:v>natural-area</x:v>
      </x:c>
      <x:c r="D14" s="7" t="str">
        <x:v>unverified</x:v>
      </x:c>
      <x:c r="E14" s="7" t="n">
        <x:v>0</x:v>
      </x:c>
      <x:c r="F14" s="7" t="n">
        <x:v>0</x:v>
      </x:c>
      <x:c r="G14" s="7" t="n">
        <x:v>0</x:v>
      </x:c>
      <x:c r="H14" s="7" t="str">
        <x:v>not_verified_at_property_level</x:v>
      </x:c>
      <x:c r="I14" s="7" t="str">
        <x:v>Not verified</x:v>
      </x:c>
      <x:c r="J14" s="7" t="str"/>
      <x:c r="K14" s="7" t="str"/>
    </x:row>
    <x:row r="15" ht="23" customHeight="1">
      <x:c r="A15" s="8" t="str">
        <x:v>1406</x:v>
      </x:c>
      <x:c r="B15" s="8" t="str">
        <x:v>Baltimore Woods Natural Area</x:v>
      </x:c>
      <x:c r="C15" s="8" t="str">
        <x:v>natural-area</x:v>
      </x:c>
      <x:c r="D15" s="8" t="str">
        <x:v>unverified</x:v>
      </x:c>
      <x:c r="E15" s="8" t="n">
        <x:v>0</x:v>
      </x:c>
      <x:c r="F15" s="8" t="n">
        <x:v>0</x:v>
      </x:c>
      <x:c r="G15" s="8" t="n">
        <x:v>0</x:v>
      </x:c>
      <x:c r="H15" s="8" t="str">
        <x:v>not_verified_at_property_level</x:v>
      </x:c>
      <x:c r="I15" s="8" t="str">
        <x:v>Not verified</x:v>
      </x:c>
      <x:c r="J15" s="8" t="str"/>
      <x:c r="K15" s="8" t="str"/>
    </x:row>
    <x:row r="16" ht="23" customHeight="1">
      <x:c r="A16" s="7" t="str">
        <x:v>1218</x:v>
      </x:c>
      <x:c r="B16" s="7" t="str">
        <x:v>Beach Community Garden</x:v>
      </x:c>
      <x:c r="C16" s="7" t="str">
        <x:v>community-garden</x:v>
      </x:c>
      <x:c r="D16" s="7" t="str">
        <x:v>limited</x:v>
      </x:c>
      <x:c r="E16" s="7" t="n">
        <x:v>0</x:v>
      </x:c>
      <x:c r="F16" s="7" t="n">
        <x:v>0</x:v>
      </x:c>
      <x:c r="G16" s="7" t="n">
        <x:v>0</x:v>
      </x:c>
      <x:c r="H16" s="7" t="str">
        <x:v>not_verified_at_property_level</x:v>
      </x:c>
      <x:c r="I16" s="7" t="str">
        <x:v>Not verified</x:v>
      </x:c>
      <x:c r="J16" s="7" t="str"/>
      <x:c r="K16" s="7" t="str">
        <x:v>https://www.portland.gov/parks/beach-community-garden</x:v>
      </x:c>
    </x:row>
    <x:row r="17" ht="23" customHeight="1">
      <x:c r="A17" s="8" t="str">
        <x:v>1395</x:v>
      </x:c>
      <x:c r="B17" s="8" t="str">
        <x:v>Beggars Tick</x:v>
      </x:c>
      <x:c r="C17" s="8" t="str">
        <x:v>natural-area</x:v>
      </x:c>
      <x:c r="D17" s="8" t="str">
        <x:v>unverified</x:v>
      </x:c>
      <x:c r="E17" s="8" t="n">
        <x:v>0</x:v>
      </x:c>
      <x:c r="F17" s="8" t="n">
        <x:v>0</x:v>
      </x:c>
      <x:c r="G17" s="8" t="n">
        <x:v>0</x:v>
      </x:c>
      <x:c r="H17" s="8" t="str">
        <x:v>not_verified_at_property_level</x:v>
      </x:c>
      <x:c r="I17" s="8" t="str">
        <x:v>Not verified</x:v>
      </x:c>
      <x:c r="J17" s="8" t="str"/>
      <x:c r="K17" s="8" t="str"/>
    </x:row>
    <x:row r="18" ht="23" customHeight="1">
      <x:c r="A18" s="7" t="str">
        <x:v>57</x:v>
      </x:c>
      <x:c r="B18" s="7" t="str">
        <x:v>Berkeley Park</x:v>
      </x:c>
      <x:c r="C18" s="7" t="str">
        <x:v>developed-park</x:v>
      </x:c>
      <x:c r="D18" s="7" t="str">
        <x:v>public</x:v>
      </x:c>
      <x:c r="E18" s="7" t="n">
        <x:v>0</x:v>
      </x:c>
      <x:c r="F18" s="7" t="n">
        <x:v>0</x:v>
      </x:c>
      <x:c r="G18" s="7" t="n">
        <x:v>0</x:v>
      </x:c>
      <x:c r="H18" s="7" t="str">
        <x:v>not_verified_at_property_level</x:v>
      </x:c>
      <x:c r="I18" s="7" t="str">
        <x:v>Not verified</x:v>
      </x:c>
      <x:c r="J18" s="7" t="str">
        <x:v>Park hours: 5:00am-midnight To reserve a sports field, please call 503-823-2525.</x:v>
      </x:c>
      <x:c r="K18" s="7" t="str">
        <x:v>https://www.portland.gov/parks/berkeley-park</x:v>
      </x:c>
    </x:row>
    <x:row r="19" ht="23" customHeight="1">
      <x:c r="A19" s="8" t="str">
        <x:v>59</x:v>
      </x:c>
      <x:c r="B19" s="8" t="str">
        <x:v>Berrydale Park</x:v>
      </x:c>
      <x:c r="C19" s="8" t="str">
        <x:v>developed-park</x:v>
      </x:c>
      <x:c r="D19" s="8" t="str">
        <x:v>public</x:v>
      </x:c>
      <x:c r="E19" s="8" t="n">
        <x:v>0</x:v>
      </x:c>
      <x:c r="F19" s="8" t="n">
        <x:v>0</x:v>
      </x:c>
      <x:c r="G19" s="8" t="n">
        <x:v>0</x:v>
      </x:c>
      <x:c r="H19" s="8" t="str">
        <x:v>not_verified_at_property_level</x:v>
      </x:c>
      <x:c r="I19" s="8" t="str">
        <x:v>Not verified</x:v>
      </x:c>
      <x:c r="J19" s="8" t="str">
        <x:v>Park hours: 5am to midnight To reserve a sports field, call 503-823-2525.</x:v>
      </x:c>
      <x:c r="K19" s="8" t="str">
        <x:v>https://www.portland.gov/parks/berrydale-park</x:v>
      </x:c>
    </x:row>
    <x:row r="20" ht="23" customHeight="1">
      <x:c r="A20" s="7" t="str">
        <x:v>1417</x:v>
      </x:c>
      <x:c r="B20" s="7" t="str">
        <x:v>Big Four Corners Natural Area</x:v>
      </x:c>
      <x:c r="C20" s="7" t="str">
        <x:v>natural-area</x:v>
      </x:c>
      <x:c r="D20" s="7" t="str">
        <x:v>unverified</x:v>
      </x:c>
      <x:c r="E20" s="7" t="n">
        <x:v>0</x:v>
      </x:c>
      <x:c r="F20" s="7" t="n">
        <x:v>0</x:v>
      </x:c>
      <x:c r="G20" s="7" t="n">
        <x:v>0</x:v>
      </x:c>
      <x:c r="H20" s="7" t="str">
        <x:v>not_verified_at_property_level</x:v>
      </x:c>
      <x:c r="I20" s="7" t="str">
        <x:v>Not verified</x:v>
      </x:c>
      <x:c r="J20" s="7" t="str"/>
      <x:c r="K20" s="7" t="str"/>
    </x:row>
    <x:row r="21" ht="23" customHeight="1">
      <x:c r="A21" s="8" t="str">
        <x:v>60</x:v>
      </x:c>
      <x:c r="B21" s="8" t="str">
        <x:v>Blair Community Garden</x:v>
      </x:c>
      <x:c r="C21" s="8" t="str">
        <x:v>community-garden</x:v>
      </x:c>
      <x:c r="D21" s="8" t="str">
        <x:v>limited</x:v>
      </x:c>
      <x:c r="E21" s="8" t="n">
        <x:v>0</x:v>
      </x:c>
      <x:c r="F21" s="8" t="n">
        <x:v>0</x:v>
      </x:c>
      <x:c r="G21" s="8" t="n">
        <x:v>0</x:v>
      </x:c>
      <x:c r="H21" s="8" t="str">
        <x:v>not_verified_at_property_level</x:v>
      </x:c>
      <x:c r="I21" s="8" t="str">
        <x:v>Not verified</x:v>
      </x:c>
      <x:c r="J21" s="8" t="str"/>
      <x:c r="K21" s="8" t="str">
        <x:v>https://www.portland.gov/parks/blair-community-garden</x:v>
      </x:c>
    </x:row>
    <x:row r="22" ht="23" customHeight="1">
      <x:c r="A22" s="7" t="str">
        <x:v>61</x:v>
      </x:c>
      <x:c r="B22" s="7" t="str">
        <x:v>Bloomington Park</x:v>
      </x:c>
      <x:c r="C22" s="7" t="str">
        <x:v>developed-park</x:v>
      </x:c>
      <x:c r="D22" s="7" t="str">
        <x:v>public</x:v>
      </x:c>
      <x:c r="E22" s="7" t="n">
        <x:v>0</x:v>
      </x:c>
      <x:c r="F22" s="7" t="n">
        <x:v>0</x:v>
      </x:c>
      <x:c r="G22" s="7" t="n">
        <x:v>0</x:v>
      </x:c>
      <x:c r="H22" s="7" t="str">
        <x:v>not_verified_at_property_level</x:v>
      </x:c>
      <x:c r="I22" s="7" t="str">
        <x:v>Not verified</x:v>
      </x:c>
      <x:c r="J22" s="7" t="str">
        <x:v>Park hours: 5:00am-midnight To reserve a sports field, call 503-823-2525.</x:v>
      </x:c>
      <x:c r="K22" s="7" t="str">
        <x:v>https://www.portland.gov/parks/bloomington-park</x:v>
      </x:c>
    </x:row>
    <x:row r="23" ht="23" customHeight="1">
      <x:c r="A23" s="8" t="str">
        <x:v>1398</x:v>
      </x:c>
      <x:c r="B23" s="8" t="str">
        <x:v>Brannen Property</x:v>
      </x:c>
      <x:c r="C23" s="8" t="str">
        <x:v>uncertain</x:v>
      </x:c>
      <x:c r="D23" s="8" t="str">
        <x:v>unverified</x:v>
      </x:c>
      <x:c r="E23" s="8" t="n">
        <x:v>0</x:v>
      </x:c>
      <x:c r="F23" s="8" t="n">
        <x:v>0</x:v>
      </x:c>
      <x:c r="G23" s="8" t="n">
        <x:v>0</x:v>
      </x:c>
      <x:c r="H23" s="8" t="str">
        <x:v>not_verified_at_property_level</x:v>
      </x:c>
      <x:c r="I23" s="8" t="str">
        <x:v>Not verified</x:v>
      </x:c>
      <x:c r="J23" s="8" t="str"/>
      <x:c r="K23" s="8" t="str"/>
    </x:row>
    <x:row r="24" ht="23" customHeight="1">
      <x:c r="A24" s="7" t="str">
        <x:v>63</x:v>
      </x:c>
      <x:c r="B24" s="7" t="str">
        <x:v>Brentwood Park</x:v>
      </x:c>
      <x:c r="C24" s="7" t="str">
        <x:v>developed-park</x:v>
      </x:c>
      <x:c r="D24" s="7" t="str">
        <x:v>public</x:v>
      </x:c>
      <x:c r="E24" s="7" t="n">
        <x:v>0</x:v>
      </x:c>
      <x:c r="F24" s="7" t="n">
        <x:v>0</x:v>
      </x:c>
      <x:c r="G24" s="7" t="n">
        <x:v>0</x:v>
      </x:c>
      <x:c r="H24" s="7" t="str">
        <x:v>not_verified_at_property_level</x:v>
      </x:c>
      <x:c r="I24" s="7" t="str">
        <x:v>Not verified</x:v>
      </x:c>
      <x:c r="J24" s="7" t="str">
        <x:v>Park hours: 5:00am-midnight To reserve a sports field, call 503-823-2525.</x:v>
      </x:c>
      <x:c r="K24" s="7" t="str">
        <x:v>https://www.portland.gov/parks/brentwood-park</x:v>
      </x:c>
    </x:row>
    <x:row r="25" ht="23" customHeight="1">
      <x:c r="A25" s="8" t="str">
        <x:v>1421</x:v>
      </x:c>
      <x:c r="B25" s="8" t="str">
        <x:v>Bridgeton Slough Natural Area</x:v>
      </x:c>
      <x:c r="C25" s="8" t="str">
        <x:v>natural-area</x:v>
      </x:c>
      <x:c r="D25" s="8" t="str">
        <x:v>unverified</x:v>
      </x:c>
      <x:c r="E25" s="8" t="n">
        <x:v>0</x:v>
      </x:c>
      <x:c r="F25" s="8" t="n">
        <x:v>0</x:v>
      </x:c>
      <x:c r="G25" s="8" t="n">
        <x:v>0</x:v>
      </x:c>
      <x:c r="H25" s="8" t="str">
        <x:v>not_verified_at_property_level</x:v>
      </x:c>
      <x:c r="I25" s="8" t="str">
        <x:v>Not verified</x:v>
      </x:c>
      <x:c r="J25" s="8" t="str"/>
      <x:c r="K25" s="8" t="str"/>
    </x:row>
    <x:row r="26" ht="23" customHeight="1">
      <x:c r="A26" s="7" t="str">
        <x:v>67</x:v>
      </x:c>
      <x:c r="B26" s="7" t="str">
        <x:v>Brooklyn Park</x:v>
      </x:c>
      <x:c r="C26" s="7" t="str">
        <x:v>developed-park</x:v>
      </x:c>
      <x:c r="D26" s="7" t="str">
        <x:v>public</x:v>
      </x:c>
      <x:c r="E26" s="7" t="n">
        <x:v>0</x:v>
      </x:c>
      <x:c r="F26" s="7" t="n">
        <x:v>0</x:v>
      </x:c>
      <x:c r="G26" s="7" t="n">
        <x:v>0</x:v>
      </x:c>
      <x:c r="H26" s="7" t="str">
        <x:v>not_verified_at_property_level</x:v>
      </x:c>
      <x:c r="I26" s="7" t="str">
        <x:v>Not verified</x:v>
      </x:c>
      <x:c r="J26" s="7" t="str">
        <x:v>Park hours: 5:00am-midnight To reserve a sports field, call 503-823-2525.</x:v>
      </x:c>
      <x:c r="K26" s="7" t="str">
        <x:v>https://www.portland.gov/parks/brooklyn-park</x:v>
      </x:c>
    </x:row>
    <x:row r="27" ht="23" customHeight="1">
      <x:c r="A27" s="8" t="str">
        <x:v>68</x:v>
      </x:c>
      <x:c r="B27" s="8" t="str">
        <x:v>Brooklyn School Park</x:v>
      </x:c>
      <x:c r="C27" s="8" t="str">
        <x:v>developed-park</x:v>
      </x:c>
      <x:c r="D27" s="8" t="str">
        <x:v>public</x:v>
      </x:c>
      <x:c r="E27" s="8" t="n">
        <x:v>0</x:v>
      </x:c>
      <x:c r="F27" s="8" t="n">
        <x:v>2</x:v>
      </x:c>
      <x:c r="G27" s="8" t="n">
        <x:v>2</x:v>
      </x:c>
      <x:c r="H27" s="8" t="str">
        <x:v>not_verified_at_property_level</x:v>
      </x:c>
      <x:c r="I27" s="8" t="str">
        <x:v>Not verified</x:v>
      </x:c>
      <x:c r="J27" s="8" t="str">
        <x:v>Park hours: 5:00am-midnight To reserve a picnic area, call 503-823-2525. Picnic Sites &amp; Info</x:v>
      </x:c>
      <x:c r="K27" s="8" t="str">
        <x:v>https://www.portland.gov/parks/brooklyn-school-park</x:v>
      </x:c>
    </x:row>
    <x:row r="28" ht="23" customHeight="1">
      <x:c r="A28" s="7" t="str">
        <x:v>1222</x:v>
      </x:c>
      <x:c r="B28" s="7" t="str">
        <x:v>Brookside</x:v>
      </x:c>
      <x:c r="C28" s="7" t="str">
        <x:v>developed-park</x:v>
      </x:c>
      <x:c r="D28" s="7" t="str">
        <x:v>unverified</x:v>
      </x:c>
      <x:c r="E28" s="7" t="n">
        <x:v>0</x:v>
      </x:c>
      <x:c r="F28" s="7" t="n">
        <x:v>0</x:v>
      </x:c>
      <x:c r="G28" s="7" t="n">
        <x:v>0</x:v>
      </x:c>
      <x:c r="H28" s="7" t="str">
        <x:v>not_verified_at_property_level</x:v>
      </x:c>
      <x:c r="I28" s="7" t="str">
        <x:v>Not verified</x:v>
      </x:c>
      <x:c r="J28" s="7" t="str"/>
      <x:c r="K28" s="7" t="str"/>
    </x:row>
    <x:row r="29" ht="23" customHeight="1">
      <x:c r="A29" s="8" t="str">
        <x:v>89</x:v>
      </x:c>
      <x:c r="B29" s="8" t="str">
        <x:v>Buckman Community Garden</x:v>
      </x:c>
      <x:c r="C29" s="8" t="str">
        <x:v>community-garden</x:v>
      </x:c>
      <x:c r="D29" s="8" t="str">
        <x:v>limited</x:v>
      </x:c>
      <x:c r="E29" s="8" t="n">
        <x:v>0</x:v>
      </x:c>
      <x:c r="F29" s="8" t="n">
        <x:v>0</x:v>
      </x:c>
      <x:c r="G29" s="8" t="n">
        <x:v>0</x:v>
      </x:c>
      <x:c r="H29" s="8" t="str">
        <x:v>not_verified_at_property_level</x:v>
      </x:c>
      <x:c r="I29" s="8" t="str">
        <x:v>Not verified</x:v>
      </x:c>
      <x:c r="J29" s="8" t="str"/>
      <x:c r="K29" s="8" t="str">
        <x:v>https://www.portland.gov/parks/buckman-community-garden</x:v>
      </x:c>
    </x:row>
    <x:row r="30" ht="23" customHeight="1">
      <x:c r="A30" s="7" t="str">
        <x:v>90</x:v>
      </x:c>
      <x:c r="B30" s="7" t="str">
        <x:v>Buckman Field</x:v>
      </x:c>
      <x:c r="C30" s="7" t="str">
        <x:v>developed-park</x:v>
      </x:c>
      <x:c r="D30" s="7" t="str">
        <x:v>unverified</x:v>
      </x:c>
      <x:c r="E30" s="7" t="n">
        <x:v>0</x:v>
      </x:c>
      <x:c r="F30" s="7" t="n">
        <x:v>0</x:v>
      </x:c>
      <x:c r="G30" s="7" t="n">
        <x:v>0</x:v>
      </x:c>
      <x:c r="H30" s="7" t="str">
        <x:v>not_verified_at_property_level</x:v>
      </x:c>
      <x:c r="I30" s="7" t="str">
        <x:v>Not verified</x:v>
      </x:c>
      <x:c r="J30" s="7" t="str"/>
      <x:c r="K30" s="7" t="str"/>
    </x:row>
    <x:row r="31" ht="23" customHeight="1">
      <x:c r="A31" s="8" t="str">
        <x:v>92</x:v>
      </x:c>
      <x:c r="B31" s="8" t="str">
        <x:v>Burlingame Park</x:v>
      </x:c>
      <x:c r="C31" s="8" t="str">
        <x:v>developed-park</x:v>
      </x:c>
      <x:c r="D31" s="8" t="str">
        <x:v>public</x:v>
      </x:c>
      <x:c r="E31" s="8" t="n">
        <x:v>0</x:v>
      </x:c>
      <x:c r="F31" s="8" t="n">
        <x:v>0</x:v>
      </x:c>
      <x:c r="G31" s="8" t="n">
        <x:v>0</x:v>
      </x:c>
      <x:c r="H31" s="8" t="str">
        <x:v>not_verified_at_property_level</x:v>
      </x:c>
      <x:c r="I31" s="8" t="str">
        <x:v>Not verified</x:v>
      </x:c>
      <x:c r="J31" s="8" t="str">
        <x:v>Park hours: 5:00am-midnight To reserve a sports field, call 503-823-2525.</x:v>
      </x:c>
      <x:c r="K31" s="8" t="str">
        <x:v>https://www.portland.gov/parks/burlingame-park</x:v>
      </x:c>
    </x:row>
    <x:row r="32" ht="23" customHeight="1">
      <x:c r="A32" s="7" t="str">
        <x:v>1386</x:v>
      </x:c>
      <x:c r="B32" s="7" t="str">
        <x:v>Buttes Natural Area</x:v>
      </x:c>
      <x:c r="C32" s="7" t="str">
        <x:v>natural-area</x:v>
      </x:c>
      <x:c r="D32" s="7" t="str">
        <x:v>unverified</x:v>
      </x:c>
      <x:c r="E32" s="7" t="n">
        <x:v>0</x:v>
      </x:c>
      <x:c r="F32" s="7" t="n">
        <x:v>0</x:v>
      </x:c>
      <x:c r="G32" s="7" t="n">
        <x:v>0</x:v>
      </x:c>
      <x:c r="H32" s="7" t="str">
        <x:v>not_verified_at_property_level</x:v>
      </x:c>
      <x:c r="I32" s="7" t="str">
        <x:v>Not verified</x:v>
      </x:c>
      <x:c r="J32" s="7" t="str"/>
      <x:c r="K32" s="7" t="str"/>
    </x:row>
    <x:row r="33" ht="23" customHeight="1">
      <x:c r="A33" s="8" t="str">
        <x:v>97</x:v>
      </x:c>
      <x:c r="B33" s="8" t="str">
        <x:v>Cathedral Park</x:v>
      </x:c>
      <x:c r="C33" s="8" t="str">
        <x:v>developed-park</x:v>
      </x:c>
      <x:c r="D33" s="8" t="str">
        <x:v>public</x:v>
      </x:c>
      <x:c r="E33" s="8" t="n">
        <x:v>0</x:v>
      </x:c>
      <x:c r="F33" s="8" t="n">
        <x:v>0</x:v>
      </x:c>
      <x:c r="G33" s="8" t="n">
        <x:v>0</x:v>
      </x:c>
      <x:c r="H33" s="8" t="str">
        <x:v>not_verified_at_property_level</x:v>
      </x:c>
      <x:c r="I33" s="8" t="str">
        <x:v>Not verified</x:v>
      </x:c>
      <x:c r="J33" s="8" t="str">
        <x:v>Park hours: 5am to midnight Take a virtual tour of the trees at Cathedral Park</x:v>
      </x:c>
      <x:c r="K33" s="8" t="str">
        <x:v>https://www.portland.gov/parks/cathedral-park</x:v>
      </x:c>
    </x:row>
    <x:row r="34" ht="23" customHeight="1">
      <x:c r="A34" s="7" t="str">
        <x:v>1462</x:v>
      </x:c>
      <x:c r="B34" s="7" t="str">
        <x:v>Catkin Marsh Natural Area</x:v>
      </x:c>
      <x:c r="C34" s="7" t="str">
        <x:v>natural-area</x:v>
      </x:c>
      <x:c r="D34" s="7" t="str">
        <x:v>unverified</x:v>
      </x:c>
      <x:c r="E34" s="7" t="n">
        <x:v>0</x:v>
      </x:c>
      <x:c r="F34" s="7" t="n">
        <x:v>0</x:v>
      </x:c>
      <x:c r="G34" s="7" t="n">
        <x:v>0</x:v>
      </x:c>
      <x:c r="H34" s="7" t="str">
        <x:v>not_verified_at_property_level</x:v>
      </x:c>
      <x:c r="I34" s="7" t="str">
        <x:v>Not verified</x:v>
      </x:c>
      <x:c r="J34" s="7" t="str"/>
      <x:c r="K34" s="7" t="str"/>
    </x:row>
    <x:row r="35" ht="23" customHeight="1">
      <x:c r="A35" s="8" t="str">
        <x:v>1465</x:v>
      </x:c>
      <x:c r="B35" s="8" t="str">
        <x:v>Centennial Park Community Garden</x:v>
      </x:c>
      <x:c r="C35" s="8" t="str">
        <x:v>community-garden</x:v>
      </x:c>
      <x:c r="D35" s="8" t="str">
        <x:v>limited</x:v>
      </x:c>
      <x:c r="E35" s="8" t="n">
        <x:v>0</x:v>
      </x:c>
      <x:c r="F35" s="8" t="n">
        <x:v>0</x:v>
      </x:c>
      <x:c r="G35" s="8" t="n">
        <x:v>0</x:v>
      </x:c>
      <x:c r="H35" s="8" t="str">
        <x:v>not_verified_at_property_level</x:v>
      </x:c>
      <x:c r="I35" s="8" t="str">
        <x:v>Not verified</x:v>
      </x:c>
      <x:c r="J35" s="8" t="str"/>
      <x:c r="K35" s="8" t="str">
        <x:v>https://www.portland.gov/parks/centennial-park-community-garden</x:v>
      </x:c>
    </x:row>
    <x:row r="36" ht="23" customHeight="1">
      <x:c r="A36" s="7" t="str">
        <x:v>1505</x:v>
      </x:c>
      <x:c r="B36" s="7" t="str">
        <x:v>Cesar Chavez Community Garden</x:v>
      </x:c>
      <x:c r="C36" s="7" t="str">
        <x:v>community-garden</x:v>
      </x:c>
      <x:c r="D36" s="7" t="str">
        <x:v>limited</x:v>
      </x:c>
      <x:c r="E36" s="7" t="n">
        <x:v>0</x:v>
      </x:c>
      <x:c r="F36" s="7" t="n">
        <x:v>0</x:v>
      </x:c>
      <x:c r="G36" s="7" t="n">
        <x:v>0</x:v>
      </x:c>
      <x:c r="H36" s="7" t="str">
        <x:v>not_verified_at_property_level</x:v>
      </x:c>
      <x:c r="I36" s="7" t="str">
        <x:v>Not verified</x:v>
      </x:c>
      <x:c r="J36" s="7" t="str"/>
      <x:c r="K36" s="7" t="str">
        <x:v>https://www.portland.gov/parks/cesar-chavez-community-garden</x:v>
      </x:c>
    </x:row>
    <x:row r="37" ht="23" customHeight="1">
      <x:c r="A37" s="8" t="str">
        <x:v>1</x:v>
      </x:c>
      <x:c r="B37" s="8" t="str">
        <x:v>Cherry Blossom Park</x:v>
      </x:c>
      <x:c r="C37" s="8" t="str">
        <x:v>developed-park</x:v>
      </x:c>
      <x:c r="D37" s="8" t="str">
        <x:v>public</x:v>
      </x:c>
      <x:c r="E37" s="8" t="n">
        <x:v>0</x:v>
      </x:c>
      <x:c r="F37" s="8" t="n">
        <x:v>0</x:v>
      </x:c>
      <x:c r="G37" s="8" t="n">
        <x:v>0</x:v>
      </x:c>
      <x:c r="H37" s="8" t="str">
        <x:v>not_verified_at_property_level</x:v>
      </x:c>
      <x:c r="I37" s="8" t="str">
        <x:v>Not verified</x:v>
      </x:c>
      <x:c r="J37" s="8" t="str">
        <x:v>Park hours: 5:00am-midnight</x:v>
      </x:c>
      <x:c r="K37" s="8" t="str">
        <x:v>https://www.portland.gov/parks/cherry-blossom-park</x:v>
      </x:c>
    </x:row>
    <x:row r="38" ht="23" customHeight="1">
      <x:c r="A38" s="7" t="str">
        <x:v>2</x:v>
      </x:c>
      <x:c r="B38" s="7" t="str">
        <x:v>Cherry Park</x:v>
      </x:c>
      <x:c r="C38" s="7" t="str">
        <x:v>developed-park</x:v>
      </x:c>
      <x:c r="D38" s="7" t="str">
        <x:v>public</x:v>
      </x:c>
      <x:c r="E38" s="7" t="n">
        <x:v>0</x:v>
      </x:c>
      <x:c r="F38" s="7" t="n">
        <x:v>0</x:v>
      </x:c>
      <x:c r="G38" s="7" t="n">
        <x:v>0</x:v>
      </x:c>
      <x:c r="H38" s="7" t="str">
        <x:v>not_verified_at_property_level</x:v>
      </x:c>
      <x:c r="I38" s="7" t="str">
        <x:v>Not verified</x:v>
      </x:c>
      <x:c r="J38" s="7" t="str">
        <x:v>Park hours: 5:00am-midnight</x:v>
      </x:c>
      <x:c r="K38" s="7" t="str">
        <x:v>https://www.portland.gov/parks/cherry-park</x:v>
      </x:c>
    </x:row>
    <x:row r="39" ht="23" customHeight="1">
      <x:c r="A39" s="8" t="str">
        <x:v>5</x:v>
      </x:c>
      <x:c r="B39" s="8" t="str">
        <x:v>Chimney Park</x:v>
      </x:c>
      <x:c r="C39" s="8" t="str">
        <x:v>developed-park</x:v>
      </x:c>
      <x:c r="D39" s="8" t="str">
        <x:v>public</x:v>
      </x:c>
      <x:c r="E39" s="8" t="n">
        <x:v>0</x:v>
      </x:c>
      <x:c r="F39" s="8" t="n">
        <x:v>0</x:v>
      </x:c>
      <x:c r="G39" s="8" t="n">
        <x:v>0</x:v>
      </x:c>
      <x:c r="H39" s="8" t="str">
        <x:v>not_verified_at_property_level</x:v>
      </x:c>
      <x:c r="I39" s="8" t="str">
        <x:v>Not verified</x:v>
      </x:c>
      <x:c r="J39" s="8" t="str">
        <x:v>5:00am-midnight</x:v>
      </x:c>
      <x:c r="K39" s="8" t="str">
        <x:v>https://www.portland.gov/parks/chimney-park</x:v>
      </x:c>
    </x:row>
    <x:row r="40" ht="23" customHeight="1">
      <x:c r="A40" s="7" t="str">
        <x:v>1404</x:v>
      </x:c>
      <x:c r="B40" s="7" t="str">
        <x:v>Clarendon Community Garden</x:v>
      </x:c>
      <x:c r="C40" s="7" t="str">
        <x:v>community-garden</x:v>
      </x:c>
      <x:c r="D40" s="7" t="str">
        <x:v>limited</x:v>
      </x:c>
      <x:c r="E40" s="7" t="n">
        <x:v>0</x:v>
      </x:c>
      <x:c r="F40" s="7" t="n">
        <x:v>0</x:v>
      </x:c>
      <x:c r="G40" s="7" t="n">
        <x:v>0</x:v>
      </x:c>
      <x:c r="H40" s="7" t="str">
        <x:v>not_verified_at_property_level</x:v>
      </x:c>
      <x:c r="I40" s="7" t="str">
        <x:v>Not verified</x:v>
      </x:c>
      <x:c r="J40" s="7" t="str"/>
      <x:c r="K40" s="7" t="str">
        <x:v>https://www.portland.gov/parks/clarendon-community-garden</x:v>
      </x:c>
    </x:row>
    <x:row r="41" ht="23" customHeight="1">
      <x:c r="A41" s="8" t="str">
        <x:v>925</x:v>
      </x:c>
      <x:c r="B41" s="8" t="str">
        <x:v>Clatsop Butte Park</x:v>
      </x:c>
      <x:c r="C41" s="8" t="str">
        <x:v>developed-park</x:v>
      </x:c>
      <x:c r="D41" s="8" t="str">
        <x:v>public</x:v>
      </x:c>
      <x:c r="E41" s="8" t="n">
        <x:v>0</x:v>
      </x:c>
      <x:c r="F41" s="8" t="n">
        <x:v>0</x:v>
      </x:c>
      <x:c r="G41" s="8" t="n">
        <x:v>0</x:v>
      </x:c>
      <x:c r="H41" s="8" t="str">
        <x:v>not_verified_at_property_level</x:v>
      </x:c>
      <x:c r="I41" s="8" t="str">
        <x:v>Not verified</x:v>
      </x:c>
      <x:c r="J41" s="8" t="str">
        <x:v>Park hours: 5:00am-midnight</x:v>
      </x:c>
      <x:c r="K41" s="8" t="str">
        <x:v>https://www.portland.gov/parks/clatsop-butte-park</x:v>
      </x:c>
    </x:row>
    <x:row r="42" ht="23" customHeight="1">
      <x:c r="A42" s="7" t="str">
        <x:v>9</x:v>
      </x:c>
      <x:c r="B42" s="7" t="str">
        <x:v>Clinton Community Garden</x:v>
      </x:c>
      <x:c r="C42" s="7" t="str">
        <x:v>community-garden</x:v>
      </x:c>
      <x:c r="D42" s="7" t="str">
        <x:v>limited</x:v>
      </x:c>
      <x:c r="E42" s="7" t="n">
        <x:v>0</x:v>
      </x:c>
      <x:c r="F42" s="7" t="n">
        <x:v>0</x:v>
      </x:c>
      <x:c r="G42" s="7" t="n">
        <x:v>0</x:v>
      </x:c>
      <x:c r="H42" s="7" t="str">
        <x:v>not_verified_at_property_level</x:v>
      </x:c>
      <x:c r="I42" s="7" t="str">
        <x:v>Not verified</x:v>
      </x:c>
      <x:c r="J42" s="7" t="str"/>
      <x:c r="K42" s="7" t="str">
        <x:v>https://www.portland.gov/parks/clinton-community-garden</x:v>
      </x:c>
    </x:row>
    <x:row r="43" ht="23" customHeight="1">
      <x:c r="A43" s="8" t="str">
        <x:v>10</x:v>
      </x:c>
      <x:c r="B43" s="8" t="str">
        <x:v>Clinton Park</x:v>
      </x:c>
      <x:c r="C43" s="8" t="str">
        <x:v>developed-park</x:v>
      </x:c>
      <x:c r="D43" s="8" t="str">
        <x:v>public</x:v>
      </x:c>
      <x:c r="E43" s="8" t="n">
        <x:v>0</x:v>
      </x:c>
      <x:c r="F43" s="8" t="n">
        <x:v>0</x:v>
      </x:c>
      <x:c r="G43" s="8" t="n">
        <x:v>0</x:v>
      </x:c>
      <x:c r="H43" s="8" t="str">
        <x:v>not_verified_at_property_level</x:v>
      </x:c>
      <x:c r="I43" s="8" t="str">
        <x:v>Not verified</x:v>
      </x:c>
      <x:c r="J43" s="8" t="str">
        <x:v>Park hours: 5:00am-midnight To reserve a sports field, call 503-823-2525.</x:v>
      </x:c>
      <x:c r="K43" s="8" t="str">
        <x:v>https://www.portland.gov/parks/clinton-park</x:v>
      </x:c>
    </x:row>
    <x:row r="44" ht="23" customHeight="1">
      <x:c r="A44" s="7" t="str">
        <x:v>12</x:v>
      </x:c>
      <x:c r="B44" s="7" t="str">
        <x:v>Colonel Summers Park</x:v>
      </x:c>
      <x:c r="C44" s="7" t="str">
        <x:v>developed-park</x:v>
      </x:c>
      <x:c r="D44" s="7" t="str">
        <x:v>public</x:v>
      </x:c>
      <x:c r="E44" s="7" t="n">
        <x:v>0</x:v>
      </x:c>
      <x:c r="F44" s="7" t="n">
        <x:v>1</x:v>
      </x:c>
      <x:c r="G44" s="7" t="n">
        <x:v>1</x:v>
      </x:c>
      <x:c r="H44" s="7" t="str">
        <x:v>not_verified_at_property_level</x:v>
      </x:c>
      <x:c r="I44" s="7" t="str">
        <x:v>Not verified</x:v>
      </x:c>
      <x:c r="J44" s="7" t="str">
        <x:v>Park hours: 5am to 10pm To reserve a sports field or picnic area, please call 503-823-2525.</x:v>
      </x:c>
      <x:c r="K44" s="7" t="str">
        <x:v>https://www.portland.gov/parks/colonel-summers-park</x:v>
      </x:c>
    </x:row>
    <x:row r="45" ht="23" customHeight="1">
      <x:c r="A45" s="8" t="str">
        <x:v>14</x:v>
      </x:c>
      <x:c r="B45" s="8" t="str">
        <x:v>Columbia Buffer</x:v>
      </x:c>
      <x:c r="C45" s="8" t="str">
        <x:v>natural-area</x:v>
      </x:c>
      <x:c r="D45" s="8" t="str">
        <x:v>unverified</x:v>
      </x:c>
      <x:c r="E45" s="8" t="n">
        <x:v>0</x:v>
      </x:c>
      <x:c r="F45" s="8" t="n">
        <x:v>0</x:v>
      </x:c>
      <x:c r="G45" s="8" t="n">
        <x:v>0</x:v>
      </x:c>
      <x:c r="H45" s="8" t="str">
        <x:v>not_verified_at_property_level</x:v>
      </x:c>
      <x:c r="I45" s="8" t="str">
        <x:v>Not verified</x:v>
      </x:c>
      <x:c r="J45" s="8" t="str"/>
      <x:c r="K45" s="8" t="str"/>
    </x:row>
    <x:row r="46" ht="23" customHeight="1">
      <x:c r="A46" s="7" t="str">
        <x:v>15</x:v>
      </x:c>
      <x:c r="B46" s="7" t="str">
        <x:v>Columbia Childrens Arboretum</x:v>
      </x:c>
      <x:c r="C46" s="7" t="str">
        <x:v>garden</x:v>
      </x:c>
      <x:c r="D46" s="7" t="str">
        <x:v>limited</x:v>
      </x:c>
      <x:c r="E46" s="7" t="n">
        <x:v>0</x:v>
      </x:c>
      <x:c r="F46" s="7" t="n">
        <x:v>0</x:v>
      </x:c>
      <x:c r="G46" s="7" t="n">
        <x:v>0</x:v>
      </x:c>
      <x:c r="H46" s="7" t="str">
        <x:v>not_verified_at_property_level</x:v>
      </x:c>
      <x:c r="I46" s="7" t="str">
        <x:v>Not verified</x:v>
      </x:c>
      <x:c r="J46" s="7" t="str"/>
      <x:c r="K46" s="7" t="str">
        <x:v>https://www.portland.gov/parks/columbia-childrens-arboretum</x:v>
      </x:c>
    </x:row>
    <x:row r="47" ht="23" customHeight="1">
      <x:c r="A47" s="8" t="str">
        <x:v>17</x:v>
      </x:c>
      <x:c r="B47" s="8" t="str">
        <x:v>Columbia Park</x:v>
      </x:c>
      <x:c r="C47" s="8" t="str">
        <x:v>developed-park</x:v>
      </x:c>
      <x:c r="D47" s="8" t="str">
        <x:v>unverified</x:v>
      </x:c>
      <x:c r="E47" s="8" t="n">
        <x:v>0</x:v>
      </x:c>
      <x:c r="F47" s="8" t="n">
        <x:v>8</x:v>
      </x:c>
      <x:c r="G47" s="8" t="n">
        <x:v>8</x:v>
      </x:c>
      <x:c r="H47" s="8" t="str">
        <x:v>not_verified_at_property_level</x:v>
      </x:c>
      <x:c r="I47" s="8" t="str">
        <x:v>Not verified</x:v>
      </x:c>
      <x:c r="J47" s="8" t="str"/>
      <x:c r="K47" s="8" t="str"/>
    </x:row>
    <x:row r="48" ht="23" customHeight="1">
      <x:c r="A48" s="7" t="str">
        <x:v>1241</x:v>
      </x:c>
      <x:c r="B48" s="7" t="str">
        <x:v>Columbia Slough Natural Area</x:v>
      </x:c>
      <x:c r="C48" s="7" t="str">
        <x:v>natural-area</x:v>
      </x:c>
      <x:c r="D48" s="7" t="str">
        <x:v>unverified</x:v>
      </x:c>
      <x:c r="E48" s="7" t="n">
        <x:v>0</x:v>
      </x:c>
      <x:c r="F48" s="7" t="n">
        <x:v>0</x:v>
      </x:c>
      <x:c r="G48" s="7" t="n">
        <x:v>0</x:v>
      </x:c>
      <x:c r="H48" s="7" t="str">
        <x:v>not_verified_at_property_level</x:v>
      </x:c>
      <x:c r="I48" s="7" t="str">
        <x:v>Not verified</x:v>
      </x:c>
      <x:c r="J48" s="7" t="str"/>
      <x:c r="K48" s="7" t="str">
        <x:v>https://www.portland.gov/parks/columbia-slough-natural-area</x:v>
      </x:c>
    </x:row>
    <x:row r="49" ht="23" customHeight="1">
      <x:c r="A49" s="8" t="str">
        <x:v>20</x:v>
      </x:c>
      <x:c r="B49" s="8" t="str">
        <x:v>Columbia Slough Trail</x:v>
      </x:c>
      <x:c r="C49" s="8" t="str">
        <x:v>corridor</x:v>
      </x:c>
      <x:c r="D49" s="8" t="str">
        <x:v>unverified</x:v>
      </x:c>
      <x:c r="E49" s="8" t="n">
        <x:v>0</x:v>
      </x:c>
      <x:c r="F49" s="8" t="n">
        <x:v>0</x:v>
      </x:c>
      <x:c r="G49" s="8" t="n">
        <x:v>0</x:v>
      </x:c>
      <x:c r="H49" s="8" t="str">
        <x:v>not_verified_at_property_level</x:v>
      </x:c>
      <x:c r="I49" s="8" t="str">
        <x:v>Not verified</x:v>
      </x:c>
      <x:c r="J49" s="8" t="str"/>
      <x:c r="K49" s="8" t="str"/>
    </x:row>
    <x:row r="50" ht="23" customHeight="1">
      <x:c r="A50" s="7" t="str">
        <x:v>1480</x:v>
      </x:c>
      <x:c r="B50" s="7" t="str">
        <x:v>Colwood Property</x:v>
      </x:c>
      <x:c r="C50" s="7" t="str">
        <x:v>golf-raceway</x:v>
      </x:c>
      <x:c r="D50" s="7" t="str">
        <x:v>unverified</x:v>
      </x:c>
      <x:c r="E50" s="7" t="n">
        <x:v>0</x:v>
      </x:c>
      <x:c r="F50" s="7" t="n">
        <x:v>0</x:v>
      </x:c>
      <x:c r="G50" s="7" t="n">
        <x:v>0</x:v>
      </x:c>
      <x:c r="H50" s="7" t="str">
        <x:v>not_verified_at_property_level</x:v>
      </x:c>
      <x:c r="I50" s="7" t="str">
        <x:v>Not verified</x:v>
      </x:c>
      <x:c r="J50" s="7" t="str"/>
      <x:c r="K50" s="7" t="str"/>
    </x:row>
    <x:row r="51" ht="23" customHeight="1">
      <x:c r="A51" s="8" t="str">
        <x:v>21</x:v>
      </x:c>
      <x:c r="B51" s="8" t="str">
        <x:v>Community Music Center</x:v>
      </x:c>
      <x:c r="C51" s="8" t="str">
        <x:v>facility-site</x:v>
      </x:c>
      <x:c r="D51" s="8" t="str">
        <x:v>limited</x:v>
      </x:c>
      <x:c r="E51" s="8" t="n">
        <x:v>41</x:v>
      </x:c>
      <x:c r="F51" s="8" t="n">
        <x:v>0</x:v>
      </x:c>
      <x:c r="G51" s="8" t="n">
        <x:v>0</x:v>
      </x:c>
      <x:c r="H51" s="8" t="str">
        <x:v>not_verified_at_property_level</x:v>
      </x:c>
      <x:c r="I51" s="8" t="str">
        <x:v>Not verified</x:v>
      </x:c>
      <x:c r="J51" s="8" t="str">
        <x:v>Office Tuesday through Friday: 1 to 6pm. Building OPEN during registered activities. Closures September 7: Closed September 17: Office closed for staff in-service (lessons occur)</x:v>
      </x:c>
      <x:c r="K51" s="8" t="str">
        <x:v>https://www.portland.gov/parks/community-music-center</x:v>
      </x:c>
    </x:row>
    <x:row r="52" ht="23" customHeight="1">
      <x:c r="A52" s="7" t="str">
        <x:v>22</x:v>
      </x:c>
      <x:c r="B52" s="7" t="str">
        <x:v>Cottonwood Bay</x:v>
      </x:c>
      <x:c r="C52" s="7" t="str">
        <x:v>natural-area</x:v>
      </x:c>
      <x:c r="D52" s="7" t="str">
        <x:v>unverified</x:v>
      </x:c>
      <x:c r="E52" s="7" t="n">
        <x:v>0</x:v>
      </x:c>
      <x:c r="F52" s="7" t="n">
        <x:v>0</x:v>
      </x:c>
      <x:c r="G52" s="7" t="n">
        <x:v>0</x:v>
      </x:c>
      <x:c r="H52" s="7" t="str">
        <x:v>not_verified_at_property_level</x:v>
      </x:c>
      <x:c r="I52" s="7" t="str">
        <x:v>Not verified</x:v>
      </x:c>
      <x:c r="J52" s="7" t="str"/>
      <x:c r="K52" s="7" t="str"/>
    </x:row>
    <x:row r="53" ht="23" customHeight="1">
      <x:c r="A53" s="8" t="str">
        <x:v>811</x:v>
      </x:c>
      <x:c r="B53" s="8" t="str">
        <x:v>Cottonwood Creek Natural Area</x:v>
      </x:c>
      <x:c r="C53" s="8" t="str">
        <x:v>natural-area</x:v>
      </x:c>
      <x:c r="D53" s="8" t="str">
        <x:v>unverified</x:v>
      </x:c>
      <x:c r="E53" s="8" t="n">
        <x:v>0</x:v>
      </x:c>
      <x:c r="F53" s="8" t="n">
        <x:v>0</x:v>
      </x:c>
      <x:c r="G53" s="8" t="n">
        <x:v>0</x:v>
      </x:c>
      <x:c r="H53" s="8" t="str">
        <x:v>not_verified_at_property_level</x:v>
      </x:c>
      <x:c r="I53" s="8" t="str">
        <x:v>Not verified</x:v>
      </x:c>
      <x:c r="J53" s="8" t="str"/>
      <x:c r="K53" s="8" t="str"/>
    </x:row>
    <x:row r="54" ht="23" customHeight="1">
      <x:c r="A54" s="7" t="str">
        <x:v>23</x:v>
      </x:c>
      <x:c r="B54" s="7" t="str">
        <x:v>Couch Park</x:v>
      </x:c>
      <x:c r="C54" s="7" t="str">
        <x:v>developed-park</x:v>
      </x:c>
      <x:c r="D54" s="7" t="str">
        <x:v>public</x:v>
      </x:c>
      <x:c r="E54" s="7" t="n">
        <x:v>0</x:v>
      </x:c>
      <x:c r="F54" s="7" t="n">
        <x:v>0</x:v>
      </x:c>
      <x:c r="G54" s="7" t="n">
        <x:v>0</x:v>
      </x:c>
      <x:c r="H54" s="7" t="str">
        <x:v>not_verified_at_property_level</x:v>
      </x:c>
      <x:c r="I54" s="7" t="str">
        <x:v>Not verified</x:v>
      </x:c>
      <x:c r="J54" s="7" t="str">
        <x:v>Park hours: 5:00am-midnight</x:v>
      </x:c>
      <x:c r="K54" s="7" t="str">
        <x:v>https://www.portland.gov/parks/couch-park</x:v>
      </x:c>
    </x:row>
    <x:row r="55" ht="23" customHeight="1">
      <x:c r="A55" s="8" t="str">
        <x:v>24</x:v>
      </x:c>
      <x:c r="B55" s="8" t="str">
        <x:v>Council Crest Park</x:v>
      </x:c>
      <x:c r="C55" s="8" t="str">
        <x:v>developed-park</x:v>
      </x:c>
      <x:c r="D55" s="8" t="str">
        <x:v>public</x:v>
      </x:c>
      <x:c r="E55" s="8" t="n">
        <x:v>0</x:v>
      </x:c>
      <x:c r="F55" s="8" t="n">
        <x:v>0</x:v>
      </x:c>
      <x:c r="G55" s="8" t="n">
        <x:v>0</x:v>
      </x:c>
      <x:c r="H55" s="8" t="str">
        <x:v>not_verified_at_property_level</x:v>
      </x:c>
      <x:c r="I55" s="8" t="str">
        <x:v>Not verified</x:v>
      </x:c>
      <x:c r="J55" s="8" t="str">
        <x:v>Park hours: 5am to midnight The park is closed to motor vehicles from 9pm to 5am. The road gate on SW Council Crest Drive will be closed during those times.</x:v>
      </x:c>
      <x:c r="K55" s="8" t="str">
        <x:v>https://www.portland.gov/parks/council-crest-park</x:v>
      </x:c>
    </x:row>
    <x:row r="56" ht="23" customHeight="1">
      <x:c r="A56" s="7" t="str">
        <x:v>25</x:v>
      </x:c>
      <x:c r="B56" s="7" t="str">
        <x:v>Creston Park</x:v>
      </x:c>
      <x:c r="C56" s="7" t="str">
        <x:v>developed-park</x:v>
      </x:c>
      <x:c r="D56" s="7" t="str">
        <x:v>public</x:v>
      </x:c>
      <x:c r="E56" s="7" t="n">
        <x:v>0</x:v>
      </x:c>
      <x:c r="F56" s="7" t="n">
        <x:v>6</x:v>
      </x:c>
      <x:c r="G56" s="7" t="n">
        <x:v>6</x:v>
      </x:c>
      <x:c r="H56" s="7" t="str">
        <x:v>not_verified_at_property_level</x:v>
      </x:c>
      <x:c r="I56" s="7" t="str">
        <x:v>Not verified</x:v>
      </x:c>
      <x:c r="J56" s="7" t="str">
        <x:v>Park hours: 5am to 10pm</x:v>
      </x:c>
      <x:c r="K56" s="7" t="str">
        <x:v>https://www.portland.gov/parks/creston-park</x:v>
      </x:c>
    </x:row>
    <x:row r="57" ht="23" customHeight="1">
      <x:c r="A57" s="8" t="str">
        <x:v>1416</x:v>
      </x:c>
      <x:c r="B57" s="8" t="str">
        <x:v>Cross Levee Natural Area</x:v>
      </x:c>
      <x:c r="C57" s="8" t="str">
        <x:v>natural-area</x:v>
      </x:c>
      <x:c r="D57" s="8" t="str">
        <x:v>unverified</x:v>
      </x:c>
      <x:c r="E57" s="8" t="n">
        <x:v>0</x:v>
      </x:c>
      <x:c r="F57" s="8" t="n">
        <x:v>0</x:v>
      </x:c>
      <x:c r="G57" s="8" t="n">
        <x:v>0</x:v>
      </x:c>
      <x:c r="H57" s="8" t="str">
        <x:v>not_verified_at_property_level</x:v>
      </x:c>
      <x:c r="I57" s="8" t="str">
        <x:v>Not verified</x:v>
      </x:c>
      <x:c r="J57" s="8" t="str"/>
      <x:c r="K57" s="8" t="str"/>
    </x:row>
    <x:row r="58" ht="23" customHeight="1">
      <x:c r="A58" s="7" t="str">
        <x:v>1489</x:v>
      </x:c>
      <x:c r="B58" s="7" t="str">
        <x:v>Crossroads Community Garden</x:v>
      </x:c>
      <x:c r="C58" s="7" t="str">
        <x:v>community-garden</x:v>
      </x:c>
      <x:c r="D58" s="7" t="str">
        <x:v>limited</x:v>
      </x:c>
      <x:c r="E58" s="7" t="n">
        <x:v>0</x:v>
      </x:c>
      <x:c r="F58" s="7" t="n">
        <x:v>0</x:v>
      </x:c>
      <x:c r="G58" s="7" t="n">
        <x:v>0</x:v>
      </x:c>
      <x:c r="H58" s="7" t="str">
        <x:v>not_verified_at_property_level</x:v>
      </x:c>
      <x:c r="I58" s="7" t="str">
        <x:v>Not verified</x:v>
      </x:c>
      <x:c r="J58" s="7" t="str"/>
      <x:c r="K58" s="7" t="str">
        <x:v>https://www.portland.gov/parks/crossroads-community-garden</x:v>
      </x:c>
    </x:row>
    <x:row r="59" ht="23" customHeight="1">
      <x:c r="A59" s="8" t="str">
        <x:v>27</x:v>
      </x:c>
      <x:c r="B59" s="8" t="str">
        <x:v>Crystal Springs Rhododendron Garden</x:v>
      </x:c>
      <x:c r="C59" s="8" t="str">
        <x:v>garden</x:v>
      </x:c>
      <x:c r="D59" s="8" t="str">
        <x:v>limited</x:v>
      </x:c>
      <x:c r="E59" s="8" t="n">
        <x:v>0</x:v>
      </x:c>
      <x:c r="F59" s="8" t="n">
        <x:v>0</x:v>
      </x:c>
      <x:c r="G59" s="8" t="n">
        <x:v>0</x:v>
      </x:c>
      <x:c r="H59" s="8" t="str">
        <x:v>not_verified_at_property_level</x:v>
      </x:c>
      <x:c r="I59" s="8" t="str">
        <x:v>Not verified</x:v>
      </x:c>
      <x:c r="J59" s="8" t="str">
        <x:v>Thursday through Tuesday: 10am to 5:30pm Wednesday: 1 to 5:30pm Guests are welcome to enjoy the garden until 5:30pm when gates for the garden and parking lot will lock.</x:v>
      </x:c>
      <x:c r="K59" s="8" t="str">
        <x:v>https://www.portland.gov/parks/crystal-springs-rhododendron-garden</x:v>
      </x:c>
    </x:row>
    <x:row r="60" ht="23" customHeight="1">
      <x:c r="A60" s="7" t="str">
        <x:v>488</x:v>
      </x:c>
      <x:c r="B60" s="7" t="str">
        <x:v>Darcelle XV Plaza</x:v>
      </x:c>
      <x:c r="C60" s="7" t="str">
        <x:v>plaza-memorial</x:v>
      </x:c>
      <x:c r="D60" s="7" t="str">
        <x:v>public</x:v>
      </x:c>
      <x:c r="E60" s="7" t="n">
        <x:v>0</x:v>
      </x:c>
      <x:c r="F60" s="7" t="n">
        <x:v>0</x:v>
      </x:c>
      <x:c r="G60" s="7" t="n">
        <x:v>0</x:v>
      </x:c>
      <x:c r="H60" s="7" t="str">
        <x:v>not_verified_at_property_level</x:v>
      </x:c>
      <x:c r="I60" s="7" t="str">
        <x:v>Not verified</x:v>
      </x:c>
      <x:c r="J60" s="7" t="str">
        <x:v>5am - 10pm</x:v>
      </x:c>
      <x:c r="K60" s="7" t="str">
        <x:v>https://www.portland.gov/parks/darcelle-xv-plaza</x:v>
      </x:c>
    </x:row>
    <x:row r="61" ht="23" customHeight="1">
      <x:c r="A61" s="8" t="str">
        <x:v>1504</x:v>
      </x:c>
      <x:c r="B61" s="8" t="str">
        <x:v>David Douglas Community Garden</x:v>
      </x:c>
      <x:c r="C61" s="8" t="str">
        <x:v>community-garden</x:v>
      </x:c>
      <x:c r="D61" s="8" t="str">
        <x:v>limited</x:v>
      </x:c>
      <x:c r="E61" s="8" t="n">
        <x:v>0</x:v>
      </x:c>
      <x:c r="F61" s="8" t="n">
        <x:v>0</x:v>
      </x:c>
      <x:c r="G61" s="8" t="n">
        <x:v>0</x:v>
      </x:c>
      <x:c r="H61" s="8" t="str">
        <x:v>not_verified_at_property_level</x:v>
      </x:c>
      <x:c r="I61" s="8" t="str">
        <x:v>Not verified</x:v>
      </x:c>
      <x:c r="J61" s="8" t="str"/>
      <x:c r="K61" s="8" t="str">
        <x:v>https://www.portland.gov/parks/david-douglas-community-garden</x:v>
      </x:c>
    </x:row>
    <x:row r="62" ht="23" customHeight="1">
      <x:c r="A62" s="7" t="str">
        <x:v>33</x:v>
      </x:c>
      <x:c r="B62" s="7" t="str">
        <x:v>Dawson Park</x:v>
      </x:c>
      <x:c r="C62" s="7" t="str">
        <x:v>developed-park</x:v>
      </x:c>
      <x:c r="D62" s="7" t="str">
        <x:v>public</x:v>
      </x:c>
      <x:c r="E62" s="7" t="n">
        <x:v>0</x:v>
      </x:c>
      <x:c r="F62" s="7" t="n">
        <x:v>1</x:v>
      </x:c>
      <x:c r="G62" s="7" t="n">
        <x:v>1</x:v>
      </x:c>
      <x:c r="H62" s="7" t="str">
        <x:v>not_verified_at_property_level</x:v>
      </x:c>
      <x:c r="I62" s="7" t="str">
        <x:v>Not verified</x:v>
      </x:c>
      <x:c r="J62" s="7" t="str">
        <x:v>5am to midnight</x:v>
      </x:c>
      <x:c r="K62" s="7" t="str">
        <x:v>https://www.portland.gov/parks/dawson-park</x:v>
      </x:c>
    </x:row>
    <x:row r="63" ht="23" customHeight="1">
      <x:c r="A63" s="8" t="str">
        <x:v>1413</x:v>
      </x:c>
      <x:c r="B63" s="8" t="str">
        <x:v>Deardorff Creek Natural Area</x:v>
      </x:c>
      <x:c r="C63" s="8" t="str">
        <x:v>natural-area</x:v>
      </x:c>
      <x:c r="D63" s="8" t="str">
        <x:v>unverified</x:v>
      </x:c>
      <x:c r="E63" s="8" t="n">
        <x:v>0</x:v>
      </x:c>
      <x:c r="F63" s="8" t="n">
        <x:v>0</x:v>
      </x:c>
      <x:c r="G63" s="8" t="n">
        <x:v>0</x:v>
      </x:c>
      <x:c r="H63" s="8" t="str">
        <x:v>not_verified_at_property_level</x:v>
      </x:c>
      <x:c r="I63" s="8" t="str">
        <x:v>Not verified</x:v>
      </x:c>
      <x:c r="J63" s="8" t="str"/>
      <x:c r="K63" s="8" t="str"/>
    </x:row>
    <x:row r="64" ht="23" customHeight="1">
      <x:c r="A64" s="7" t="str">
        <x:v>37</x:v>
      </x:c>
      <x:c r="B64" s="7" t="str">
        <x:v>DeNorval Unthank Park</x:v>
      </x:c>
      <x:c r="C64" s="7" t="str">
        <x:v>developed-park</x:v>
      </x:c>
      <x:c r="D64" s="7" t="str">
        <x:v>unverified</x:v>
      </x:c>
      <x:c r="E64" s="7" t="n">
        <x:v>0</x:v>
      </x:c>
      <x:c r="F64" s="7" t="n">
        <x:v>0</x:v>
      </x:c>
      <x:c r="G64" s="7" t="n">
        <x:v>0</x:v>
      </x:c>
      <x:c r="H64" s="7" t="str">
        <x:v>not_verified_at_property_level</x:v>
      </x:c>
      <x:c r="I64" s="7" t="str">
        <x:v>Not verified</x:v>
      </x:c>
      <x:c r="J64" s="7" t="str"/>
      <x:c r="K64" s="7" t="str"/>
    </x:row>
    <x:row r="65" ht="23" customHeight="1">
      <x:c r="A65" s="8" t="str">
        <x:v>38</x:v>
      </x:c>
      <x:c r="B65" s="8" t="str">
        <x:v>DeWitt Park</x:v>
      </x:c>
      <x:c r="C65" s="8" t="str">
        <x:v>developed-park</x:v>
      </x:c>
      <x:c r="D65" s="8" t="str">
        <x:v>public</x:v>
      </x:c>
      <x:c r="E65" s="8" t="n">
        <x:v>0</x:v>
      </x:c>
      <x:c r="F65" s="8" t="n">
        <x:v>0</x:v>
      </x:c>
      <x:c r="G65" s="8" t="n">
        <x:v>0</x:v>
      </x:c>
      <x:c r="H65" s="8" t="str">
        <x:v>not_verified_at_property_level</x:v>
      </x:c>
      <x:c r="I65" s="8" t="str">
        <x:v>Not verified</x:v>
      </x:c>
      <x:c r="J65" s="8" t="str">
        <x:v>Park hours: 5:00am-midnight</x:v>
      </x:c>
      <x:c r="K65" s="8" t="str">
        <x:v>https://www.portland.gov/parks/dewitt-park</x:v>
      </x:c>
    </x:row>
    <x:row r="66" ht="23" customHeight="1">
      <x:c r="A66" s="7" t="str">
        <x:v>39</x:v>
      </x:c>
      <x:c r="B66" s="7" t="str">
        <x:v>Dickinson Park</x:v>
      </x:c>
      <x:c r="C66" s="7" t="str">
        <x:v>natural-area</x:v>
      </x:c>
      <x:c r="D66" s="7" t="str">
        <x:v>public</x:v>
      </x:c>
      <x:c r="E66" s="7" t="n">
        <x:v>0</x:v>
      </x:c>
      <x:c r="F66" s="7" t="n">
        <x:v>0</x:v>
      </x:c>
      <x:c r="G66" s="7" t="n">
        <x:v>0</x:v>
      </x:c>
      <x:c r="H66" s="7" t="str">
        <x:v>not_verified_at_property_level</x:v>
      </x:c>
      <x:c r="I66" s="7" t="str">
        <x:v>Not verified</x:v>
      </x:c>
      <x:c r="J66" s="7" t="str">
        <x:v>Park hours: 5:00am-midnight</x:v>
      </x:c>
      <x:c r="K66" s="7" t="str">
        <x:v>https://www.portland.gov/parks/dickinson-park</x:v>
      </x:c>
    </x:row>
    <x:row r="67" ht="23" customHeight="1">
      <x:c r="A67" s="8" t="str">
        <x:v>217</x:v>
      </x:c>
      <x:c r="B67" s="8" t="str">
        <x:v>Dr Martin Luther King Jr School Park</x:v>
      </x:c>
      <x:c r="C67" s="8" t="str">
        <x:v>developed-park</x:v>
      </x:c>
      <x:c r="D67" s="8" t="str">
        <x:v>public</x:v>
      </x:c>
      <x:c r="E67" s="8" t="n">
        <x:v>0</x:v>
      </x:c>
      <x:c r="F67" s="8" t="n">
        <x:v>0</x:v>
      </x:c>
      <x:c r="G67" s="8" t="n">
        <x:v>0</x:v>
      </x:c>
      <x:c r="H67" s="8" t="str">
        <x:v>not_verified_at_property_level</x:v>
      </x:c>
      <x:c r="I67" s="8" t="str">
        <x:v>Not verified</x:v>
      </x:c>
      <x:c r="J67" s="8" t="str">
        <x:v>Park hours: 5:00am-midnight To reserve a sports field, call 503-823-2525.</x:v>
      </x:c>
      <x:c r="K67" s="8" t="str">
        <x:v>https://www.portland.gov/parks/dr-martin-luther-king-jr-school-park</x:v>
      </x:c>
    </x:row>
    <x:row r="68" ht="23" customHeight="1">
      <x:c r="A68" s="7" t="str">
        <x:v>44</x:v>
      </x:c>
      <x:c r="B68" s="7" t="str">
        <x:v>Duniway Park</x:v>
      </x:c>
      <x:c r="C68" s="7" t="str">
        <x:v>developed-park</x:v>
      </x:c>
      <x:c r="D68" s="7" t="str">
        <x:v>public</x:v>
      </x:c>
      <x:c r="E68" s="7" t="n">
        <x:v>0</x:v>
      </x:c>
      <x:c r="F68" s="7" t="n">
        <x:v>0</x:v>
      </x:c>
      <x:c r="G68" s="7" t="n">
        <x:v>0</x:v>
      </x:c>
      <x:c r="H68" s="7" t="str">
        <x:v>not_verified_at_property_level</x:v>
      </x:c>
      <x:c r="I68" s="7" t="str">
        <x:v>Not verified</x:v>
      </x:c>
      <x:c r="J68" s="7" t="str">
        <x:v>Park hours: 5:00am-midnight To reserve a sports field, call 503-823-2525. Parking: There is no charge for parking in the Duniway lot however, each spot is limited to one-hour parking. Time limits are strictly enforced by the Portland Parking Patrol.</x:v>
      </x:c>
      <x:c r="K68" s="7" t="str">
        <x:v>https://www.portland.gov/parks/duniway-park</x:v>
      </x:c>
    </x:row>
    <x:row r="69" ht="23" customHeight="1">
      <x:c r="A69" s="8" t="str">
        <x:v>101</x:v>
      </x:c>
      <x:c r="B69" s="8" t="str">
        <x:v>Earl Boyles Park</x:v>
      </x:c>
      <x:c r="C69" s="8" t="str">
        <x:v>developed-park</x:v>
      </x:c>
      <x:c r="D69" s="8" t="str">
        <x:v>public</x:v>
      </x:c>
      <x:c r="E69" s="8" t="n">
        <x:v>0</x:v>
      </x:c>
      <x:c r="F69" s="8" t="n">
        <x:v>0</x:v>
      </x:c>
      <x:c r="G69" s="8" t="n">
        <x:v>0</x:v>
      </x:c>
      <x:c r="H69" s="8" t="str">
        <x:v>not_verified_at_property_level</x:v>
      </x:c>
      <x:c r="I69" s="8" t="str">
        <x:v>Not verified</x:v>
      </x:c>
      <x:c r="J69" s="8" t="str">
        <x:v>Park hours: 5:00am-midnight</x:v>
      </x:c>
      <x:c r="K69" s="8" t="str">
        <x:v>https://www.portland.gov/parks/earl-boyles-park</x:v>
      </x:c>
    </x:row>
    <x:row r="70" ht="23" customHeight="1">
      <x:c r="A70" s="7" t="str">
        <x:v>34</x:v>
      </x:c>
      <x:c r="B70" s="7" t="str">
        <x:v>East Delta Park</x:v>
      </x:c>
      <x:c r="C70" s="7" t="str">
        <x:v>developed-park</x:v>
      </x:c>
      <x:c r="D70" s="7" t="str">
        <x:v>unverified</x:v>
      </x:c>
      <x:c r="E70" s="7" t="n">
        <x:v>0</x:v>
      </x:c>
      <x:c r="F70" s="7" t="n">
        <x:v>0</x:v>
      </x:c>
      <x:c r="G70" s="7" t="n">
        <x:v>0</x:v>
      </x:c>
      <x:c r="H70" s="7" t="str">
        <x:v>not_verified_at_property_level</x:v>
      </x:c>
      <x:c r="I70" s="7" t="str">
        <x:v>Not verified</x:v>
      </x:c>
      <x:c r="J70" s="7" t="str"/>
      <x:c r="K70" s="7" t="str"/>
    </x:row>
    <x:row r="71" ht="23" customHeight="1">
      <x:c r="A71" s="8" t="str">
        <x:v>1109</x:v>
      </x:c>
      <x:c r="B71" s="8" t="str">
        <x:v>East Holladay Park</x:v>
      </x:c>
      <x:c r="C71" s="8" t="str">
        <x:v>developed-park</x:v>
      </x:c>
      <x:c r="D71" s="8" t="str">
        <x:v>public</x:v>
      </x:c>
      <x:c r="E71" s="8" t="n">
        <x:v>0</x:v>
      </x:c>
      <x:c r="F71" s="8" t="n">
        <x:v>0</x:v>
      </x:c>
      <x:c r="G71" s="8" t="n">
        <x:v>0</x:v>
      </x:c>
      <x:c r="H71" s="8" t="str">
        <x:v>not_verified_at_property_level</x:v>
      </x:c>
      <x:c r="I71" s="8" t="str">
        <x:v>Not verified</x:v>
      </x:c>
      <x:c r="J71" s="8" t="str">
        <x:v>Park hours: 5:00am-midnight</x:v>
      </x:c>
      <x:c r="K71" s="8" t="str">
        <x:v>https://www.portland.gov/parks/east-holladay-park</x:v>
      </x:c>
    </x:row>
    <x:row r="72" ht="23" customHeight="1">
      <x:c r="A72" s="7" t="str">
        <x:v>1494</x:v>
      </x:c>
      <x:c r="B72" s="7" t="str">
        <x:v>Eastminster Community Garden</x:v>
      </x:c>
      <x:c r="C72" s="7" t="str">
        <x:v>community-garden</x:v>
      </x:c>
      <x:c r="D72" s="7" t="str">
        <x:v>limited</x:v>
      </x:c>
      <x:c r="E72" s="7" t="n">
        <x:v>0</x:v>
      </x:c>
      <x:c r="F72" s="7" t="n">
        <x:v>0</x:v>
      </x:c>
      <x:c r="G72" s="7" t="n">
        <x:v>0</x:v>
      </x:c>
      <x:c r="H72" s="7" t="str">
        <x:v>not_verified_at_property_level</x:v>
      </x:c>
      <x:c r="I72" s="7" t="str">
        <x:v>Not verified</x:v>
      </x:c>
      <x:c r="J72" s="7" t="str"/>
      <x:c r="K72" s="7" t="str">
        <x:v>https://www.portland.gov/parks/eastminster-community-garden</x:v>
      </x:c>
    </x:row>
    <x:row r="73" ht="23" customHeight="1">
      <x:c r="A73" s="8" t="str">
        <x:v>1255</x:v>
      </x:c>
      <x:c r="B73" s="8" t="str">
        <x:v>Eastmoreland Garden</x:v>
      </x:c>
      <x:c r="C73" s="8" t="str">
        <x:v>garden</x:v>
      </x:c>
      <x:c r="D73" s="8" t="str">
        <x:v>limited</x:v>
      </x:c>
      <x:c r="E73" s="8" t="n">
        <x:v>0</x:v>
      </x:c>
      <x:c r="F73" s="8" t="n">
        <x:v>0</x:v>
      </x:c>
      <x:c r="G73" s="8" t="n">
        <x:v>0</x:v>
      </x:c>
      <x:c r="H73" s="8" t="str">
        <x:v>not_verified_at_property_level</x:v>
      </x:c>
      <x:c r="I73" s="8" t="str">
        <x:v>Not verified</x:v>
      </x:c>
      <x:c r="J73" s="8" t="str"/>
      <x:c r="K73" s="8" t="str">
        <x:v>https://www.portland.gov/parks/eastmoreland-garden</x:v>
      </x:c>
    </x:row>
    <x:row r="74" ht="23" customHeight="1">
      <x:c r="A74" s="7" t="str">
        <x:v>106</x:v>
      </x:c>
      <x:c r="B74" s="7" t="str">
        <x:v>Eastmoreland Golf Course</x:v>
      </x:c>
      <x:c r="C74" s="7" t="str">
        <x:v>golf-raceway</x:v>
      </x:c>
      <x:c r="D74" s="7" t="str">
        <x:v>limited</x:v>
      </x:c>
      <x:c r="E74" s="7" t="n">
        <x:v>0</x:v>
      </x:c>
      <x:c r="F74" s="7" t="n">
        <x:v>0</x:v>
      </x:c>
      <x:c r="G74" s="7" t="n">
        <x:v>0</x:v>
      </x:c>
      <x:c r="H74" s="7" t="str">
        <x:v>not_verified_at_property_level</x:v>
      </x:c>
      <x:c r="I74" s="7" t="str">
        <x:v>Not verified</x:v>
      </x:c>
      <x:c r="J74" s="7" t="str">
        <x:v>Course hours: 6am to 7pm Driving range: 6am to 9pm Bar and grill: 7am to 7pm</x:v>
      </x:c>
      <x:c r="K74" s="7" t="str">
        <x:v>https://www.portland.gov/parks/eastmoreland-golf-course</x:v>
      </x:c>
    </x:row>
    <x:row r="75" ht="23" customHeight="1">
      <x:c r="A75" s="8" t="str">
        <x:v>109</x:v>
      </x:c>
      <x:c r="B75" s="8" t="str">
        <x:v>Eastmoreland Playground Park</x:v>
      </x:c>
      <x:c r="C75" s="8" t="str">
        <x:v>developed-park</x:v>
      </x:c>
      <x:c r="D75" s="8" t="str">
        <x:v>public</x:v>
      </x:c>
      <x:c r="E75" s="8" t="n">
        <x:v>0</x:v>
      </x:c>
      <x:c r="F75" s="8" t="n">
        <x:v>0</x:v>
      </x:c>
      <x:c r="G75" s="8" t="n">
        <x:v>0</x:v>
      </x:c>
      <x:c r="H75" s="8" t="str">
        <x:v>not_verified_at_property_level</x:v>
      </x:c>
      <x:c r="I75" s="8" t="str">
        <x:v>Not verified</x:v>
      </x:c>
      <x:c r="J75" s="8" t="str">
        <x:v>Park hours: 5:00am-10:00pm</x:v>
      </x:c>
      <x:c r="K75" s="8" t="str">
        <x:v>https://www.portland.gov/parks/eastmoreland-playground-park</x:v>
      </x:c>
    </x:row>
    <x:row r="76" ht="23" customHeight="1">
      <x:c r="A76" s="7" t="str">
        <x:v>110</x:v>
      </x:c>
      <x:c r="B76" s="7" t="str">
        <x:v>Eastridge Park</x:v>
      </x:c>
      <x:c r="C76" s="7" t="str">
        <x:v>developed-park</x:v>
      </x:c>
      <x:c r="D76" s="7" t="str">
        <x:v>public</x:v>
      </x:c>
      <x:c r="E76" s="7" t="n">
        <x:v>0</x:v>
      </x:c>
      <x:c r="F76" s="7" t="n">
        <x:v>0</x:v>
      </x:c>
      <x:c r="G76" s="7" t="n">
        <x:v>0</x:v>
      </x:c>
      <x:c r="H76" s="7" t="str">
        <x:v>not_verified_at_property_level</x:v>
      </x:c>
      <x:c r="I76" s="7" t="str">
        <x:v>Not verified</x:v>
      </x:c>
      <x:c r="J76" s="7" t="str">
        <x:v>Park hours: 5:00am-10:00pm</x:v>
      </x:c>
      <x:c r="K76" s="7" t="str">
        <x:v>https://www.portland.gov/parks/eastridge-park</x:v>
      </x:c>
    </x:row>
    <x:row r="77" ht="23" customHeight="1">
      <x:c r="A77" s="8" t="str">
        <x:v>112</x:v>
      </x:c>
      <x:c r="B77" s="8" t="str">
        <x:v>Ed Benedict Park</x:v>
      </x:c>
      <x:c r="C77" s="8" t="str">
        <x:v>developed-park</x:v>
      </x:c>
      <x:c r="D77" s="8" t="str">
        <x:v>public</x:v>
      </x:c>
      <x:c r="E77" s="8" t="n">
        <x:v>0</x:v>
      </x:c>
      <x:c r="F77" s="8" t="n">
        <x:v>0</x:v>
      </x:c>
      <x:c r="G77" s="8" t="n">
        <x:v>0</x:v>
      </x:c>
      <x:c r="H77" s="8" t="str">
        <x:v>not_verified_at_property_level</x:v>
      </x:c>
      <x:c r="I77" s="8" t="str">
        <x:v>Not verified</x:v>
      </x:c>
      <x:c r="J77" s="8" t="str">
        <x:v>Park hours: 5am to midnight To reserve a sports field, call 503-823-2525.</x:v>
      </x:c>
      <x:c r="K77" s="8" t="str">
        <x:v>https://www.portland.gov/parks/ed-benedict-park</x:v>
      </x:c>
    </x:row>
    <x:row r="78" ht="23" customHeight="1">
      <x:c r="A78" s="7" t="str">
        <x:v>1385</x:v>
      </x:c>
      <x:c r="B78" s="7" t="str">
        <x:v>Elizabeth Caruthers Park</x:v>
      </x:c>
      <x:c r="C78" s="7" t="str">
        <x:v>developed-park</x:v>
      </x:c>
      <x:c r="D78" s="7" t="str">
        <x:v>public</x:v>
      </x:c>
      <x:c r="E78" s="7" t="n">
        <x:v>0</x:v>
      </x:c>
      <x:c r="F78" s="7" t="n">
        <x:v>0</x:v>
      </x:c>
      <x:c r="G78" s="7" t="n">
        <x:v>0</x:v>
      </x:c>
      <x:c r="H78" s="7" t="str">
        <x:v>not_verified_at_property_level</x:v>
      </x:c>
      <x:c r="I78" s="7" t="str">
        <x:v>Not verified</x:v>
      </x:c>
      <x:c r="J78" s="7" t="str">
        <x:v>Park hours: 5:00am-midnight</x:v>
      </x:c>
      <x:c r="K78" s="7" t="str">
        <x:v>https://www.portland.gov/parks/elizabeth-caruthers-park</x:v>
      </x:c>
    </x:row>
    <x:row r="79" ht="23" customHeight="1">
      <x:c r="A79" s="8" t="str">
        <x:v>114</x:v>
      </x:c>
      <x:c r="B79" s="8" t="str">
        <x:v>Errol Heights Park</x:v>
      </x:c>
      <x:c r="C79" s="8" t="str">
        <x:v>developed-park</x:v>
      </x:c>
      <x:c r="D79" s="8" t="str">
        <x:v>public</x:v>
      </x:c>
      <x:c r="E79" s="8" t="n">
        <x:v>0</x:v>
      </x:c>
      <x:c r="F79" s="8" t="n">
        <x:v>0</x:v>
      </x:c>
      <x:c r="G79" s="8" t="n">
        <x:v>0</x:v>
      </x:c>
      <x:c r="H79" s="8" t="str">
        <x:v>not_verified_at_property_level</x:v>
      </x:c>
      <x:c r="I79" s="8" t="str">
        <x:v>Not verified</x:v>
      </x:c>
      <x:c r="J79" s="8" t="str">
        <x:v>5am to 11:59pm</x:v>
      </x:c>
      <x:c r="K79" s="8" t="str">
        <x:v>https://www.portland.gov/parks/errol-heights-park</x:v>
      </x:c>
    </x:row>
    <x:row r="80" ht="23" customHeight="1">
      <x:c r="A80" s="7" t="str">
        <x:v>116</x:v>
      </x:c>
      <x:c r="B80" s="7" t="str">
        <x:v>Essex Park</x:v>
      </x:c>
      <x:c r="C80" s="7" t="str">
        <x:v>developed-park</x:v>
      </x:c>
      <x:c r="D80" s="7" t="str">
        <x:v>public</x:v>
      </x:c>
      <x:c r="E80" s="7" t="n">
        <x:v>0</x:v>
      </x:c>
      <x:c r="F80" s="7" t="n">
        <x:v>0</x:v>
      </x:c>
      <x:c r="G80" s="7" t="n">
        <x:v>0</x:v>
      </x:c>
      <x:c r="H80" s="7" t="str">
        <x:v>not_verified_at_property_level</x:v>
      </x:c>
      <x:c r="I80" s="7" t="str">
        <x:v>Not verified</x:v>
      </x:c>
      <x:c r="J80" s="7" t="str">
        <x:v>Park hours: 5am to midnight To reserve a sports field, call 503-823-2525.</x:v>
      </x:c>
      <x:c r="K80" s="7" t="str">
        <x:v>https://www.portland.gov/parks/essex-park</x:v>
      </x:c>
    </x:row>
    <x:row r="81" ht="23" customHeight="1">
      <x:c r="A81" s="8" t="str">
        <x:v>117</x:v>
      </x:c>
      <x:c r="B81" s="8" t="str">
        <x:v>Everett Community Garden</x:v>
      </x:c>
      <x:c r="C81" s="8" t="str">
        <x:v>community-garden</x:v>
      </x:c>
      <x:c r="D81" s="8" t="str">
        <x:v>limited</x:v>
      </x:c>
      <x:c r="E81" s="8" t="n">
        <x:v>0</x:v>
      </x:c>
      <x:c r="F81" s="8" t="n">
        <x:v>0</x:v>
      </x:c>
      <x:c r="G81" s="8" t="n">
        <x:v>0</x:v>
      </x:c>
      <x:c r="H81" s="8" t="str">
        <x:v>not_verified_at_property_level</x:v>
      </x:c>
      <x:c r="I81" s="8" t="str">
        <x:v>Not verified</x:v>
      </x:c>
      <x:c r="J81" s="8" t="str"/>
      <x:c r="K81" s="8" t="str">
        <x:v>https://www.portland.gov/parks/everett-community-garden</x:v>
      </x:c>
    </x:row>
    <x:row r="82" ht="23" customHeight="1">
      <x:c r="A82" s="7" t="str">
        <x:v>1246</x:v>
      </x:c>
      <x:c r="B82" s="7" t="str">
        <x:v>Exeter Property</x:v>
      </x:c>
      <x:c r="C82" s="7" t="str">
        <x:v>uncertain</x:v>
      </x:c>
      <x:c r="D82" s="7" t="str">
        <x:v>unverified</x:v>
      </x:c>
      <x:c r="E82" s="7" t="n">
        <x:v>0</x:v>
      </x:c>
      <x:c r="F82" s="7" t="n">
        <x:v>0</x:v>
      </x:c>
      <x:c r="G82" s="7" t="n">
        <x:v>0</x:v>
      </x:c>
      <x:c r="H82" s="7" t="str">
        <x:v>not_verified_at_property_level</x:v>
      </x:c>
      <x:c r="I82" s="7" t="str">
        <x:v>Not verified</x:v>
      </x:c>
      <x:c r="J82" s="7" t="str"/>
      <x:c r="K82" s="7" t="str"/>
    </x:row>
    <x:row r="83" ht="23" customHeight="1">
      <x:c r="A83" s="8" t="str">
        <x:v>118</x:v>
      </x:c>
      <x:c r="B83" s="8" t="str">
        <x:v>Fanno Creek Natural Area</x:v>
      </x:c>
      <x:c r="C83" s="8" t="str">
        <x:v>natural-area</x:v>
      </x:c>
      <x:c r="D83" s="8" t="str">
        <x:v>unverified</x:v>
      </x:c>
      <x:c r="E83" s="8" t="n">
        <x:v>0</x:v>
      </x:c>
      <x:c r="F83" s="8" t="n">
        <x:v>0</x:v>
      </x:c>
      <x:c r="G83" s="8" t="n">
        <x:v>0</x:v>
      </x:c>
      <x:c r="H83" s="8" t="str">
        <x:v>not_verified_at_property_level</x:v>
      </x:c>
      <x:c r="I83" s="8" t="str">
        <x:v>Not verified</x:v>
      </x:c>
      <x:c r="J83" s="8" t="str"/>
      <x:c r="K83" s="8" t="str">
        <x:v>https://www.portland.gov/parks/fanno-creek-natural-area</x:v>
      </x:c>
    </x:row>
    <x:row r="84" ht="23" customHeight="1">
      <x:c r="A84" s="7" t="str">
        <x:v>119</x:v>
      </x:c>
      <x:c r="B84" s="7" t="str">
        <x:v>Farragut Park</x:v>
      </x:c>
      <x:c r="C84" s="7" t="str">
        <x:v>developed-park</x:v>
      </x:c>
      <x:c r="D84" s="7" t="str">
        <x:v>public</x:v>
      </x:c>
      <x:c r="E84" s="7" t="n">
        <x:v>0</x:v>
      </x:c>
      <x:c r="F84" s="7" t="n">
        <x:v>0</x:v>
      </x:c>
      <x:c r="G84" s="7" t="n">
        <x:v>0</x:v>
      </x:c>
      <x:c r="H84" s="7" t="str">
        <x:v>not_verified_at_property_level</x:v>
      </x:c>
      <x:c r="I84" s="7" t="str">
        <x:v>Not verified</x:v>
      </x:c>
      <x:c r="J84" s="7" t="str">
        <x:v>Park hours: 5:00am-midnight To reserve a sports field, call 503-823-2525.</x:v>
      </x:c>
      <x:c r="K84" s="7" t="str">
        <x:v>https://www.portland.gov/parks/farragut-park</x:v>
      </x:c>
    </x:row>
    <x:row r="85" ht="23" customHeight="1">
      <x:c r="A85" s="8" t="str">
        <x:v>120</x:v>
      </x:c>
      <x:c r="B85" s="8" t="str">
        <x:v>Fernhill Park</x:v>
      </x:c>
      <x:c r="C85" s="8" t="str">
        <x:v>developed-park</x:v>
      </x:c>
      <x:c r="D85" s="8" t="str">
        <x:v>public</x:v>
      </x:c>
      <x:c r="E85" s="8" t="n">
        <x:v>0</x:v>
      </x:c>
      <x:c r="F85" s="8" t="n">
        <x:v>0</x:v>
      </x:c>
      <x:c r="G85" s="8" t="n">
        <x:v>0</x:v>
      </x:c>
      <x:c r="H85" s="8" t="str">
        <x:v>not_verified_at_property_level</x:v>
      </x:c>
      <x:c r="I85" s="8" t="str">
        <x:v>Not verified</x:v>
      </x:c>
      <x:c r="J85" s="8" t="str">
        <x:v>Park hours: 5:00am-midnight To reserve a sports field, call 503-823-2525.</x:v>
      </x:c>
      <x:c r="K85" s="8" t="str">
        <x:v>https://www.portland.gov/parks/fernhill-park</x:v>
      </x:c>
    </x:row>
    <x:row r="86" ht="23" customHeight="1">
      <x:c r="A86" s="7" t="str">
        <x:v>122</x:v>
      </x:c>
      <x:c r="B86" s="7" t="str">
        <x:v>Firehouse Theater</x:v>
      </x:c>
      <x:c r="C86" s="7" t="str">
        <x:v>facility-site</x:v>
      </x:c>
      <x:c r="D86" s="7" t="str">
        <x:v>unverified</x:v>
      </x:c>
      <x:c r="E86" s="7" t="n">
        <x:v>0</x:v>
      </x:c>
      <x:c r="F86" s="7" t="n">
        <x:v>0</x:v>
      </x:c>
      <x:c r="G86" s="7" t="n">
        <x:v>0</x:v>
      </x:c>
      <x:c r="H86" s="7" t="str">
        <x:v>not_verified_at_property_level</x:v>
      </x:c>
      <x:c r="I86" s="7" t="str">
        <x:v>Not verified</x:v>
      </x:c>
      <x:c r="J86" s="7" t="str"/>
      <x:c r="K86" s="7" t="str"/>
    </x:row>
    <x:row r="87" ht="23" customHeight="1">
      <x:c r="A87" s="8" t="str">
        <x:v>123</x:v>
      </x:c>
      <x:c r="B87" s="8" t="str">
        <x:v>Flavel Park</x:v>
      </x:c>
      <x:c r="C87" s="8" t="str">
        <x:v>developed-park</x:v>
      </x:c>
      <x:c r="D87" s="8" t="str">
        <x:v>public</x:v>
      </x:c>
      <x:c r="E87" s="8" t="n">
        <x:v>0</x:v>
      </x:c>
      <x:c r="F87" s="8" t="n">
        <x:v>0</x:v>
      </x:c>
      <x:c r="G87" s="8" t="n">
        <x:v>0</x:v>
      </x:c>
      <x:c r="H87" s="8" t="str">
        <x:v>not_verified_at_property_level</x:v>
      </x:c>
      <x:c r="I87" s="8" t="str">
        <x:v>Not verified</x:v>
      </x:c>
      <x:c r="J87" s="8" t="str">
        <x:v>Park hours: 5:00am-midnight To reserve a sports field, call 503-823-2525.</x:v>
      </x:c>
      <x:c r="K87" s="8" t="str">
        <x:v>https://www.portland.gov/parks/flavel-park</x:v>
      </x:c>
    </x:row>
    <x:row r="88" ht="23" customHeight="1">
      <x:c r="A88" s="7" t="str">
        <x:v>1503</x:v>
      </x:c>
      <x:c r="B88" s="7" t="str">
        <x:v>Floyd Light Community Garden</x:v>
      </x:c>
      <x:c r="C88" s="7" t="str">
        <x:v>community-garden</x:v>
      </x:c>
      <x:c r="D88" s="7" t="str">
        <x:v>limited</x:v>
      </x:c>
      <x:c r="E88" s="7" t="n">
        <x:v>0</x:v>
      </x:c>
      <x:c r="F88" s="7" t="n">
        <x:v>0</x:v>
      </x:c>
      <x:c r="G88" s="7" t="n">
        <x:v>0</x:v>
      </x:c>
      <x:c r="H88" s="7" t="str">
        <x:v>not_verified_at_property_level</x:v>
      </x:c>
      <x:c r="I88" s="7" t="str">
        <x:v>Not verified</x:v>
      </x:c>
      <x:c r="J88" s="7" t="str"/>
      <x:c r="K88" s="7" t="str">
        <x:v>https://www.portland.gov/parks/floyd-light-community-garden</x:v>
      </x:c>
    </x:row>
    <x:row r="89" ht="23" customHeight="1">
      <x:c r="A89" s="8" t="str">
        <x:v>124</x:v>
      </x:c>
      <x:c r="B89" s="8" t="str">
        <x:v>Floyd Light Park</x:v>
      </x:c>
      <x:c r="C89" s="8" t="str">
        <x:v>developed-park</x:v>
      </x:c>
      <x:c r="D89" s="8" t="str">
        <x:v>public</x:v>
      </x:c>
      <x:c r="E89" s="8" t="n">
        <x:v>0</x:v>
      </x:c>
      <x:c r="F89" s="8" t="n">
        <x:v>0</x:v>
      </x:c>
      <x:c r="G89" s="8" t="n">
        <x:v>0</x:v>
      </x:c>
      <x:c r="H89" s="8" t="str">
        <x:v>not_verified_at_property_level</x:v>
      </x:c>
      <x:c r="I89" s="8" t="str">
        <x:v>Not verified</x:v>
      </x:c>
      <x:c r="J89" s="8" t="str">
        <x:v>Park hours: 5:00am-midnight To reserve a sports field, call 503-823-2525.</x:v>
      </x:c>
      <x:c r="K89" s="8" t="str">
        <x:v>https://www.portland.gov/parks/floyd-light-park</x:v>
      </x:c>
    </x:row>
    <x:row r="90" ht="23" customHeight="1">
      <x:c r="A90" s="7" t="str">
        <x:v>1461</x:v>
      </x:c>
      <x:c r="B90" s="7" t="str">
        <x:v>Flyway Wetlands Natural Area</x:v>
      </x:c>
      <x:c r="C90" s="7" t="str">
        <x:v>natural-area</x:v>
      </x:c>
      <x:c r="D90" s="7" t="str">
        <x:v>unverified</x:v>
      </x:c>
      <x:c r="E90" s="7" t="n">
        <x:v>0</x:v>
      </x:c>
      <x:c r="F90" s="7" t="n">
        <x:v>0</x:v>
      </x:c>
      <x:c r="G90" s="7" t="n">
        <x:v>0</x:v>
      </x:c>
      <x:c r="H90" s="7" t="str">
        <x:v>not_verified_at_property_level</x:v>
      </x:c>
      <x:c r="I90" s="7" t="str">
        <x:v>Not verified</x:v>
      </x:c>
      <x:c r="J90" s="7" t="str"/>
      <x:c r="K90" s="7" t="str"/>
    </x:row>
    <x:row r="91" ht="23" customHeight="1">
      <x:c r="A91" s="8" t="str">
        <x:v>1198</x:v>
      </x:c>
      <x:c r="B91" s="8" t="str">
        <x:v>Foley-Balmer Natural Area</x:v>
      </x:c>
      <x:c r="C91" s="8" t="str">
        <x:v>natural-area</x:v>
      </x:c>
      <x:c r="D91" s="8" t="str">
        <x:v>unverified</x:v>
      </x:c>
      <x:c r="E91" s="8" t="n">
        <x:v>0</x:v>
      </x:c>
      <x:c r="F91" s="8" t="n">
        <x:v>0</x:v>
      </x:c>
      <x:c r="G91" s="8" t="n">
        <x:v>0</x:v>
      </x:c>
      <x:c r="H91" s="8" t="str">
        <x:v>not_verified_at_property_level</x:v>
      </x:c>
      <x:c r="I91" s="8" t="str">
        <x:v>Not verified</x:v>
      </x:c>
      <x:c r="J91" s="8" t="str"/>
      <x:c r="K91" s="8" t="str">
        <x:v>https://www.portland.gov/parks/foley-balmer-natural-area</x:v>
      </x:c>
    </x:row>
    <x:row r="92" ht="23" customHeight="1">
      <x:c r="A92" s="7" t="str">
        <x:v>126</x:v>
      </x:c>
      <x:c r="B92" s="7" t="str">
        <x:v>Forest Heights Park</x:v>
      </x:c>
      <x:c r="C92" s="7" t="str">
        <x:v>developed-park</x:v>
      </x:c>
      <x:c r="D92" s="7" t="str">
        <x:v>public</x:v>
      </x:c>
      <x:c r="E92" s="7" t="n">
        <x:v>0</x:v>
      </x:c>
      <x:c r="F92" s="7" t="n">
        <x:v>0</x:v>
      </x:c>
      <x:c r="G92" s="7" t="n">
        <x:v>0</x:v>
      </x:c>
      <x:c r="H92" s="7" t="str">
        <x:v>not_verified_at_property_level</x:v>
      </x:c>
      <x:c r="I92" s="7" t="str">
        <x:v>Not verified</x:v>
      </x:c>
      <x:c r="J92" s="7" t="str">
        <x:v>Park hours: 5:00am-midnight</x:v>
      </x:c>
      <x:c r="K92" s="7" t="str">
        <x:v>https://www.portland.gov/parks/forest-heights-park</x:v>
      </x:c>
    </x:row>
    <x:row r="93" ht="23" customHeight="1">
      <x:c r="A93" s="8" t="str">
        <x:v>127</x:v>
      </x:c>
      <x:c r="B93" s="8" t="str">
        <x:v>Forest Park</x:v>
      </x:c>
      <x:c r="C93" s="8" t="str">
        <x:v>natural-area</x:v>
      </x:c>
      <x:c r="D93" s="8" t="str">
        <x:v>public</x:v>
      </x:c>
      <x:c r="E93" s="8" t="n">
        <x:v>0</x:v>
      </x:c>
      <x:c r="F93" s="8" t="n">
        <x:v>0</x:v>
      </x:c>
      <x:c r="G93" s="8" t="n">
        <x:v>0</x:v>
      </x:c>
      <x:c r="H93" s="8" t="str">
        <x:v>not_verified_at_property_level</x:v>
      </x:c>
      <x:c r="I93" s="8" t="str">
        <x:v>Not verified</x:v>
      </x:c>
      <x:c r="J93" s="8" t="str">
        <x:v>Park hours: 5:00 am-10:00 pm Permitted activities include pedestrian use on all trails; cycling and equestrian use on designated trails. Motorized mobility devices allowed for people with disabilities. Dogs on-leash only. Prohibited activities include off-leash dogs, fires, drones, motorized vehicles, camping, fireworks, hunting and fishing, and possession of firearms.</x:v>
      </x:c>
      <x:c r="K93" s="8" t="str">
        <x:v>https://www.portland.gov/parks/forest-park</x:v>
      </x:c>
    </x:row>
    <x:row r="94" ht="23" customHeight="1">
      <x:c r="A94" s="7" t="str">
        <x:v>1463</x:v>
      </x:c>
      <x:c r="B94" s="7" t="str">
        <x:v>Foster Floodplain Natural Area</x:v>
      </x:c>
      <x:c r="C94" s="7" t="str">
        <x:v>natural-area</x:v>
      </x:c>
      <x:c r="D94" s="7" t="str">
        <x:v>public</x:v>
      </x:c>
      <x:c r="E94" s="7" t="n">
        <x:v>0</x:v>
      </x:c>
      <x:c r="F94" s="7" t="n">
        <x:v>0</x:v>
      </x:c>
      <x:c r="G94" s="7" t="n">
        <x:v>0</x:v>
      </x:c>
      <x:c r="H94" s="7" t="str">
        <x:v>not_verified_at_property_level</x:v>
      </x:c>
      <x:c r="I94" s="7" t="str">
        <x:v>Not verified</x:v>
      </x:c>
      <x:c r="J94" s="7" t="str">
        <x:v>8am to 7pm</x:v>
      </x:c>
      <x:c r="K94" s="7" t="str">
        <x:v>https://www.portland.gov/parks/foster-floodplain-natural-area</x:v>
      </x:c>
    </x:row>
    <x:row r="95" ht="23" customHeight="1">
      <x:c r="A95" s="8" t="str">
        <x:v>130</x:v>
      </x:c>
      <x:c r="B95" s="8" t="str">
        <x:v>Frazer Park</x:v>
      </x:c>
      <x:c r="C95" s="8" t="str">
        <x:v>developed-park</x:v>
      </x:c>
      <x:c r="D95" s="8" t="str">
        <x:v>public</x:v>
      </x:c>
      <x:c r="E95" s="8" t="n">
        <x:v>0</x:v>
      </x:c>
      <x:c r="F95" s="8" t="n">
        <x:v>0</x:v>
      </x:c>
      <x:c r="G95" s="8" t="n">
        <x:v>0</x:v>
      </x:c>
      <x:c r="H95" s="8" t="str">
        <x:v>not_verified_at_property_level</x:v>
      </x:c>
      <x:c r="I95" s="8" t="str">
        <x:v>Not verified</x:v>
      </x:c>
      <x:c r="J95" s="8" t="str">
        <x:v>Park hours: 5:00am-midnight</x:v>
      </x:c>
      <x:c r="K95" s="8" t="str">
        <x:v>https://www.portland.gov/parks/frazer-park</x:v>
      </x:c>
    </x:row>
    <x:row r="96" ht="23" customHeight="1">
      <x:c r="A96" s="7" t="str">
        <x:v>1217</x:v>
      </x:c>
      <x:c r="B96" s="7" t="str">
        <x:v>Front and Curry Community Garden</x:v>
      </x:c>
      <x:c r="C96" s="7" t="str">
        <x:v>community-garden</x:v>
      </x:c>
      <x:c r="D96" s="7" t="str">
        <x:v>limited</x:v>
      </x:c>
      <x:c r="E96" s="7" t="n">
        <x:v>0</x:v>
      </x:c>
      <x:c r="F96" s="7" t="n">
        <x:v>0</x:v>
      </x:c>
      <x:c r="G96" s="7" t="n">
        <x:v>0</x:v>
      </x:c>
      <x:c r="H96" s="7" t="str">
        <x:v>not_verified_at_property_level</x:v>
      </x:c>
      <x:c r="I96" s="7" t="str">
        <x:v>Not verified</x:v>
      </x:c>
      <x:c r="J96" s="7" t="str"/>
      <x:c r="K96" s="7" t="str">
        <x:v>https://www.portland.gov/parks/front-and-curry-community-garden</x:v>
      </x:c>
    </x:row>
    <x:row r="97" ht="23" customHeight="1">
      <x:c r="A97" s="8" t="str">
        <x:v>133</x:v>
      </x:c>
      <x:c r="B97" s="8" t="str">
        <x:v>Fulton Park</x:v>
      </x:c>
      <x:c r="C97" s="8" t="str">
        <x:v>developed-park</x:v>
      </x:c>
      <x:c r="D97" s="8" t="str">
        <x:v>public</x:v>
      </x:c>
      <x:c r="E97" s="8" t="n">
        <x:v>0</x:v>
      </x:c>
      <x:c r="F97" s="8" t="n">
        <x:v>0</x:v>
      </x:c>
      <x:c r="G97" s="8" t="n">
        <x:v>0</x:v>
      </x:c>
      <x:c r="H97" s="8" t="str">
        <x:v>not_verified_at_property_level</x:v>
      </x:c>
      <x:c r="I97" s="8" t="str">
        <x:v>Not verified</x:v>
      </x:c>
      <x:c r="J97" s="8" t="str">
        <x:v>Park hours: 5:00am-midnight To reserve a sports field, call 503-823-2525.</x:v>
      </x:c>
      <x:c r="K97" s="8" t="str">
        <x:v>https://www.portland.gov/parks/fulton-park</x:v>
      </x:c>
    </x:row>
    <x:row r="98" ht="23" customHeight="1">
      <x:c r="A98" s="7" t="str">
        <x:v>1410</x:v>
      </x:c>
      <x:c r="B98" s="7" t="str">
        <x:v>Furey Community Garden</x:v>
      </x:c>
      <x:c r="C98" s="7" t="str">
        <x:v>community-garden</x:v>
      </x:c>
      <x:c r="D98" s="7" t="str">
        <x:v>limited</x:v>
      </x:c>
      <x:c r="E98" s="7" t="n">
        <x:v>0</x:v>
      </x:c>
      <x:c r="F98" s="7" t="n">
        <x:v>0</x:v>
      </x:c>
      <x:c r="G98" s="7" t="n">
        <x:v>0</x:v>
      </x:c>
      <x:c r="H98" s="7" t="str">
        <x:v>not_verified_at_property_level</x:v>
      </x:c>
      <x:c r="I98" s="7" t="str">
        <x:v>Not verified</x:v>
      </x:c>
      <x:c r="J98" s="7" t="str"/>
      <x:c r="K98" s="7" t="str">
        <x:v>https://www.portland.gov/parks/furey-community-garden</x:v>
      </x:c>
    </x:row>
    <x:row r="99" ht="23" customHeight="1">
      <x:c r="A99" s="8" t="str">
        <x:v>136</x:v>
      </x:c>
      <x:c r="B99" s="8" t="str">
        <x:v>Gabriel Park</x:v>
      </x:c>
      <x:c r="C99" s="8" t="str">
        <x:v>developed-park</x:v>
      </x:c>
      <x:c r="D99" s="8" t="str">
        <x:v>public</x:v>
      </x:c>
      <x:c r="E99" s="8" t="n">
        <x:v>129</x:v>
      </x:c>
      <x:c r="F99" s="8" t="n">
        <x:v>4</x:v>
      </x:c>
      <x:c r="G99" s="8" t="n">
        <x:v>4</x:v>
      </x:c>
      <x:c r="H99" s="8" t="str">
        <x:v>not_verified_at_property_level</x:v>
      </x:c>
      <x:c r="I99" s="8" t="str">
        <x:v>Not verified</x:v>
      </x:c>
      <x:c r="J99" s="8" t="str">
        <x:v>Park hours: 5am to midnight Parking lot off SW Canby closed at 10pm</x:v>
      </x:c>
      <x:c r="K99" s="8" t="str">
        <x:v>https://www.portland.gov/parks/gabriel-park</x:v>
      </x:c>
    </x:row>
    <x:row r="100" ht="23" customHeight="1">
      <x:c r="A100" s="7" t="str">
        <x:v>137</x:v>
      </x:c>
      <x:c r="B100" s="7" t="str">
        <x:v>Gammans Park</x:v>
      </x:c>
      <x:c r="C100" s="7" t="str">
        <x:v>developed-park</x:v>
      </x:c>
      <x:c r="D100" s="7" t="str">
        <x:v>public</x:v>
      </x:c>
      <x:c r="E100" s="7" t="n">
        <x:v>0</x:v>
      </x:c>
      <x:c r="F100" s="7" t="n">
        <x:v>0</x:v>
      </x:c>
      <x:c r="G100" s="7" t="n">
        <x:v>0</x:v>
      </x:c>
      <x:c r="H100" s="7" t="str">
        <x:v>not_verified_at_property_level</x:v>
      </x:c>
      <x:c r="I100" s="7" t="str">
        <x:v>Not verified</x:v>
      </x:c>
      <x:c r="J100" s="7" t="str">
        <x:v>Park hours: 5:00am-midnight</x:v>
      </x:c>
      <x:c r="K100" s="7" t="str">
        <x:v>https://www.portland.gov/parks/gammans-park</x:v>
      </x:c>
    </x:row>
    <x:row r="101" ht="23" customHeight="1">
      <x:c r="A101" s="8" t="str">
        <x:v>1199</x:v>
      </x:c>
      <x:c r="B101" s="8" t="str">
        <x:v>Gates Park</x:v>
      </x:c>
      <x:c r="C101" s="8" t="str">
        <x:v>developed-park</x:v>
      </x:c>
      <x:c r="D101" s="8" t="str">
        <x:v>unverified</x:v>
      </x:c>
      <x:c r="E101" s="8" t="n">
        <x:v>0</x:v>
      </x:c>
      <x:c r="F101" s="8" t="n">
        <x:v>0</x:v>
      </x:c>
      <x:c r="G101" s="8" t="n">
        <x:v>0</x:v>
      </x:c>
      <x:c r="H101" s="8" t="str">
        <x:v>not_verified_at_property_level</x:v>
      </x:c>
      <x:c r="I101" s="8" t="str">
        <x:v>Not verified</x:v>
      </x:c>
      <x:c r="J101" s="8" t="str"/>
      <x:c r="K101" s="8" t="str"/>
    </x:row>
    <x:row r="102" ht="23" customHeight="1">
      <x:c r="A102" s="7" t="str">
        <x:v>1366</x:v>
      </x:c>
      <x:c r="B102" s="7" t="str">
        <x:v>Gateway Discovery Park</x:v>
      </x:c>
      <x:c r="C102" s="7" t="str">
        <x:v>developed-park</x:v>
      </x:c>
      <x:c r="D102" s="7" t="str">
        <x:v>public</x:v>
      </x:c>
      <x:c r="E102" s="7" t="n">
        <x:v>0</x:v>
      </x:c>
      <x:c r="F102" s="7" t="n">
        <x:v>3</x:v>
      </x:c>
      <x:c r="G102" s="7" t="n">
        <x:v>4</x:v>
      </x:c>
      <x:c r="H102" s="7" t="str">
        <x:v>not_verified_at_property_level</x:v>
      </x:c>
      <x:c r="I102" s="7" t="str">
        <x:v>Not verified</x:v>
      </x:c>
      <x:c r="J102" s="7" t="str">
        <x:v>Park hours: 5am to midnight</x:v>
      </x:c>
      <x:c r="K102" s="7" t="str">
        <x:v>https://www.portland.gov/parks/gateway-discovery-park</x:v>
      </x:c>
    </x:row>
    <x:row r="103" ht="23" customHeight="1">
      <x:c r="A103" s="8" t="str">
        <x:v>1484</x:v>
      </x:c>
      <x:c r="B103" s="8" t="str">
        <x:v>Gateway Green Property</x:v>
      </x:c>
      <x:c r="C103" s="8" t="str">
        <x:v>developed-park</x:v>
      </x:c>
      <x:c r="D103" s="8" t="str">
        <x:v>unverified</x:v>
      </x:c>
      <x:c r="E103" s="8" t="n">
        <x:v>0</x:v>
      </x:c>
      <x:c r="F103" s="8" t="n">
        <x:v>0</x:v>
      </x:c>
      <x:c r="G103" s="8" t="n">
        <x:v>0</x:v>
      </x:c>
      <x:c r="H103" s="8" t="str">
        <x:v>not_verified_at_property_level</x:v>
      </x:c>
      <x:c r="I103" s="8" t="str">
        <x:v>Not verified</x:v>
      </x:c>
      <x:c r="J103" s="8" t="str"/>
      <x:c r="K103" s="8" t="str"/>
    </x:row>
    <x:row r="104" ht="23" customHeight="1">
      <x:c r="A104" s="7" t="str">
        <x:v>147</x:v>
      </x:c>
      <x:c r="B104" s="7" t="str">
        <x:v>George Himes Park</x:v>
      </x:c>
      <x:c r="C104" s="7" t="str">
        <x:v>natural-area</x:v>
      </x:c>
      <x:c r="D104" s="7" t="str">
        <x:v>public</x:v>
      </x:c>
      <x:c r="E104" s="7" t="n">
        <x:v>0</x:v>
      </x:c>
      <x:c r="F104" s="7" t="n">
        <x:v>0</x:v>
      </x:c>
      <x:c r="G104" s="7" t="n">
        <x:v>0</x:v>
      </x:c>
      <x:c r="H104" s="7" t="str">
        <x:v>not_verified_at_property_level</x:v>
      </x:c>
      <x:c r="I104" s="7" t="str">
        <x:v>Not verified</x:v>
      </x:c>
      <x:c r="J104" s="7" t="str">
        <x:v>Park hours: 5:00am-midnight</x:v>
      </x:c>
      <x:c r="K104" s="7" t="str">
        <x:v>https://www.portland.gov/parks/george-himes-park</x:v>
      </x:c>
    </x:row>
    <x:row r="105" ht="23" customHeight="1">
      <x:c r="A105" s="8" t="str">
        <x:v>148</x:v>
      </x:c>
      <x:c r="B105" s="8" t="str">
        <x:v>George Park</x:v>
      </x:c>
      <x:c r="C105" s="8" t="str">
        <x:v>developed-park</x:v>
      </x:c>
      <x:c r="D105" s="8" t="str">
        <x:v>public</x:v>
      </x:c>
      <x:c r="E105" s="8" t="n">
        <x:v>0</x:v>
      </x:c>
      <x:c r="F105" s="8" t="n">
        <x:v>0</x:v>
      </x:c>
      <x:c r="G105" s="8" t="n">
        <x:v>0</x:v>
      </x:c>
      <x:c r="H105" s="8" t="str">
        <x:v>not_verified_at_property_level</x:v>
      </x:c>
      <x:c r="I105" s="8" t="str">
        <x:v>Not verified</x:v>
      </x:c>
      <x:c r="J105" s="8" t="str">
        <x:v>Park hours: 5:00am-midnight</x:v>
      </x:c>
      <x:c r="K105" s="8" t="str">
        <x:v>https://www.portland.gov/parks/george-park</x:v>
      </x:c>
    </x:row>
    <x:row r="106" ht="23" customHeight="1">
      <x:c r="A106" s="7" t="str">
        <x:v>149</x:v>
      </x:c>
      <x:c r="B106" s="7" t="str">
        <x:v>Gilbert Heights Park</x:v>
      </x:c>
      <x:c r="C106" s="7" t="str">
        <x:v>developed-park</x:v>
      </x:c>
      <x:c r="D106" s="7" t="str">
        <x:v>public</x:v>
      </x:c>
      <x:c r="E106" s="7" t="n">
        <x:v>0</x:v>
      </x:c>
      <x:c r="F106" s="7" t="n">
        <x:v>0</x:v>
      </x:c>
      <x:c r="G106" s="7" t="n">
        <x:v>0</x:v>
      </x:c>
      <x:c r="H106" s="7" t="str">
        <x:v>not_verified_at_property_level</x:v>
      </x:c>
      <x:c r="I106" s="7" t="str">
        <x:v>Not verified</x:v>
      </x:c>
      <x:c r="J106" s="7" t="str">
        <x:v>Park hours: 5:00am-midnight To reserve a sports field, call 503-823-2525.</x:v>
      </x:c>
      <x:c r="K106" s="7" t="str">
        <x:v>https://www.portland.gov/parks/gilbert-heights-park</x:v>
      </x:c>
    </x:row>
    <x:row r="107" ht="23" customHeight="1">
      <x:c r="A107" s="8" t="str">
        <x:v>150</x:v>
      </x:c>
      <x:c r="B107" s="8" t="str">
        <x:v>Gilbert Primary Park</x:v>
      </x:c>
      <x:c r="C107" s="8" t="str">
        <x:v>developed-park</x:v>
      </x:c>
      <x:c r="D107" s="8" t="str">
        <x:v>public</x:v>
      </x:c>
      <x:c r="E107" s="8" t="n">
        <x:v>0</x:v>
      </x:c>
      <x:c r="F107" s="8" t="n">
        <x:v>0</x:v>
      </x:c>
      <x:c r="G107" s="8" t="n">
        <x:v>0</x:v>
      </x:c>
      <x:c r="H107" s="8" t="str">
        <x:v>not_verified_at_property_level</x:v>
      </x:c>
      <x:c r="I107" s="8" t="str">
        <x:v>Not verified</x:v>
      </x:c>
      <x:c r="J107" s="8" t="str">
        <x:v>Park hours: 5:00am-midnight</x:v>
      </x:c>
      <x:c r="K107" s="8" t="str">
        <x:v>https://www.portland.gov/parks/gilbert-primary-park</x:v>
      </x:c>
    </x:row>
    <x:row r="108" ht="23" customHeight="1">
      <x:c r="A108" s="7" t="str">
        <x:v>152</x:v>
      </x:c>
      <x:c r="B108" s="7" t="str">
        <x:v>Glenfair Park</x:v>
      </x:c>
      <x:c r="C108" s="7" t="str">
        <x:v>developed-park</x:v>
      </x:c>
      <x:c r="D108" s="7" t="str">
        <x:v>public</x:v>
      </x:c>
      <x:c r="E108" s="7" t="n">
        <x:v>0</x:v>
      </x:c>
      <x:c r="F108" s="7" t="n">
        <x:v>0</x:v>
      </x:c>
      <x:c r="G108" s="7" t="n">
        <x:v>0</x:v>
      </x:c>
      <x:c r="H108" s="7" t="str">
        <x:v>not_verified_at_property_level</x:v>
      </x:c>
      <x:c r="I108" s="7" t="str">
        <x:v>Not verified</x:v>
      </x:c>
      <x:c r="J108" s="7" t="str">
        <x:v>Park hours: 5:00am-10:00pm To reserve a sports field, call David Douglas District at 503-261-8399.</x:v>
      </x:c>
      <x:c r="K108" s="7" t="str">
        <x:v>https://www.portland.gov/parks/glenfair-park</x:v>
      </x:c>
    </x:row>
    <x:row r="109" ht="23" customHeight="1">
      <x:c r="A109" s="8" t="str">
        <x:v>153</x:v>
      </x:c>
      <x:c r="B109" s="8" t="str">
        <x:v>Glenhaven Park</x:v>
      </x:c>
      <x:c r="C109" s="8" t="str">
        <x:v>developed-park</x:v>
      </x:c>
      <x:c r="D109" s="8" t="str">
        <x:v>public</x:v>
      </x:c>
      <x:c r="E109" s="8" t="n">
        <x:v>0</x:v>
      </x:c>
      <x:c r="F109" s="8" t="n">
        <x:v>0</x:v>
      </x:c>
      <x:c r="G109" s="8" t="n">
        <x:v>0</x:v>
      </x:c>
      <x:c r="H109" s="8" t="str">
        <x:v>not_verified_at_property_level</x:v>
      </x:c>
      <x:c r="I109" s="8" t="str">
        <x:v>Not verified</x:v>
      </x:c>
      <x:c r="J109" s="8" t="str">
        <x:v>Park hours: 5:00am-midnight To reserve a sports field, call 503-823-2525.</x:v>
      </x:c>
      <x:c r="K109" s="8" t="str">
        <x:v>https://www.portland.gov/parks/glenhaven-park</x:v>
      </x:c>
    </x:row>
    <x:row r="110" ht="23" customHeight="1">
      <x:c r="A110" s="7" t="str">
        <x:v>154</x:v>
      </x:c>
      <x:c r="B110" s="7" t="str">
        <x:v>Glenwood Park</x:v>
      </x:c>
      <x:c r="C110" s="7" t="str">
        <x:v>developed-park</x:v>
      </x:c>
      <x:c r="D110" s="7" t="str">
        <x:v>public</x:v>
      </x:c>
      <x:c r="E110" s="7" t="n">
        <x:v>0</x:v>
      </x:c>
      <x:c r="F110" s="7" t="n">
        <x:v>0</x:v>
      </x:c>
      <x:c r="G110" s="7" t="n">
        <x:v>0</x:v>
      </x:c>
      <x:c r="H110" s="7" t="str">
        <x:v>not_verified_at_property_level</x:v>
      </x:c>
      <x:c r="I110" s="7" t="str">
        <x:v>Not verified</x:v>
      </x:c>
      <x:c r="J110" s="7" t="str">
        <x:v>Park hours: 5:00am-midnight To reserve a sports field, call 503-823-2525.</x:v>
      </x:c>
      <x:c r="K110" s="7" t="str">
        <x:v>https://www.portland.gov/parks/glenwood-park</x:v>
      </x:c>
    </x:row>
    <x:row r="111" ht="23" customHeight="1">
      <x:c r="A111" s="8" t="str">
        <x:v>156</x:v>
      </x:c>
      <x:c r="B111" s="8" t="str">
        <x:v>Gov Tom McCall Waterfront Park</x:v>
      </x:c>
      <x:c r="C111" s="8" t="str">
        <x:v>developed-park</x:v>
      </x:c>
      <x:c r="D111" s="8" t="str">
        <x:v>public</x:v>
      </x:c>
      <x:c r="E111" s="8" t="n">
        <x:v>0</x:v>
      </x:c>
      <x:c r="F111" s="8" t="n">
        <x:v>0</x:v>
      </x:c>
      <x:c r="G111" s="8" t="n">
        <x:v>0</x:v>
      </x:c>
      <x:c r="H111" s="8" t="str">
        <x:v>not_verified_at_property_level</x:v>
      </x:c>
      <x:c r="I111" s="8" t="str">
        <x:v>Not verified</x:v>
      </x:c>
      <x:c r="J111" s="8" t="str">
        <x:v>Park hours: 5:00am-midnight</x:v>
      </x:c>
      <x:c r="K111" s="8" t="str">
        <x:v>https://www.portland.gov/parks/governor-tom-mccall-waterfront-park</x:v>
      </x:c>
    </x:row>
    <x:row r="112" ht="23" customHeight="1">
      <x:c r="A112" s="7" t="str">
        <x:v>166</x:v>
      </x:c>
      <x:c r="B112" s="7" t="str">
        <x:v>Governors Park</x:v>
      </x:c>
      <x:c r="C112" s="7" t="str">
        <x:v>natural-area</x:v>
      </x:c>
      <x:c r="D112" s="7" t="str">
        <x:v>public</x:v>
      </x:c>
      <x:c r="E112" s="7" t="n">
        <x:v>0</x:v>
      </x:c>
      <x:c r="F112" s="7" t="n">
        <x:v>0</x:v>
      </x:c>
      <x:c r="G112" s="7" t="n">
        <x:v>0</x:v>
      </x:c>
      <x:c r="H112" s="7" t="str">
        <x:v>not_verified_at_property_level</x:v>
      </x:c>
      <x:c r="I112" s="7" t="str">
        <x:v>Not verified</x:v>
      </x:c>
      <x:c r="J112" s="7" t="str">
        <x:v>Park hours: 5:00am-midnight</x:v>
      </x:c>
      <x:c r="K112" s="7" t="str">
        <x:v>https://www.portland.gov/parks/governors-park</x:v>
      </x:c>
    </x:row>
    <x:row r="113" ht="23" customHeight="1">
      <x:c r="A113" s="8" t="str">
        <x:v>1443</x:v>
      </x:c>
      <x:c r="B113" s="8" t="str">
        <x:v>Grant Community Garden</x:v>
      </x:c>
      <x:c r="C113" s="8" t="str">
        <x:v>community-garden</x:v>
      </x:c>
      <x:c r="D113" s="8" t="str">
        <x:v>limited</x:v>
      </x:c>
      <x:c r="E113" s="8" t="n">
        <x:v>0</x:v>
      </x:c>
      <x:c r="F113" s="8" t="n">
        <x:v>0</x:v>
      </x:c>
      <x:c r="G113" s="8" t="n">
        <x:v>0</x:v>
      </x:c>
      <x:c r="H113" s="8" t="str">
        <x:v>not_verified_at_property_level</x:v>
      </x:c>
      <x:c r="I113" s="8" t="str">
        <x:v>Not verified</x:v>
      </x:c>
      <x:c r="J113" s="8" t="str"/>
      <x:c r="K113" s="8" t="str">
        <x:v>https://www.portland.gov/parks/grant-community-garden</x:v>
      </x:c>
    </x:row>
    <x:row r="114" ht="23" customHeight="1">
      <x:c r="A114" s="7" t="str">
        <x:v>167</x:v>
      </x:c>
      <x:c r="B114" s="7" t="str">
        <x:v>Grant Park</x:v>
      </x:c>
      <x:c r="C114" s="7" t="str">
        <x:v>developed-park</x:v>
      </x:c>
      <x:c r="D114" s="7" t="str">
        <x:v>public</x:v>
      </x:c>
      <x:c r="E114" s="7" t="n">
        <x:v>0</x:v>
      </x:c>
      <x:c r="F114" s="7" t="n">
        <x:v>1</x:v>
      </x:c>
      <x:c r="G114" s="7" t="n">
        <x:v>1</x:v>
      </x:c>
      <x:c r="H114" s="7" t="str">
        <x:v>not_verified_at_property_level</x:v>
      </x:c>
      <x:c r="I114" s="7" t="str">
        <x:v>Not verified</x:v>
      </x:c>
      <x:c r="J114" s="7" t="str">
        <x:v>Park hours: 5:00am-midnight To reserve a sports field or picnic area, call 503-823-2525 . Picnic Site Maps and Information</x:v>
      </x:c>
      <x:c r="K114" s="7" t="str">
        <x:v>https://www.portland.gov/parks/grant-park</x:v>
      </x:c>
    </x:row>
    <x:row r="115" ht="23" customHeight="1">
      <x:c r="A115" s="8" t="str">
        <x:v>1223</x:v>
      </x:c>
      <x:c r="B115" s="8" t="str">
        <x:v>Green Thumb</x:v>
      </x:c>
      <x:c r="C115" s="8" t="str">
        <x:v>developed-park</x:v>
      </x:c>
      <x:c r="D115" s="8" t="str">
        <x:v>unverified</x:v>
      </x:c>
      <x:c r="E115" s="8" t="n">
        <x:v>0</x:v>
      </x:c>
      <x:c r="F115" s="8" t="n">
        <x:v>0</x:v>
      </x:c>
      <x:c r="G115" s="8" t="n">
        <x:v>0</x:v>
      </x:c>
      <x:c r="H115" s="8" t="str">
        <x:v>not_verified_at_property_level</x:v>
      </x:c>
      <x:c r="I115" s="8" t="str">
        <x:v>Not verified</x:v>
      </x:c>
      <x:c r="J115" s="8" t="str"/>
      <x:c r="K115" s="8" t="str"/>
    </x:row>
    <x:row r="116" ht="23" customHeight="1">
      <x:c r="A116" s="7" t="str">
        <x:v>170</x:v>
      </x:c>
      <x:c r="B116" s="7" t="str">
        <x:v>Hamilton Park</x:v>
      </x:c>
      <x:c r="C116" s="7" t="str">
        <x:v>developed-park</x:v>
      </x:c>
      <x:c r="D116" s="7" t="str">
        <x:v>public</x:v>
      </x:c>
      <x:c r="E116" s="7" t="n">
        <x:v>0</x:v>
      </x:c>
      <x:c r="F116" s="7" t="n">
        <x:v>0</x:v>
      </x:c>
      <x:c r="G116" s="7" t="n">
        <x:v>0</x:v>
      </x:c>
      <x:c r="H116" s="7" t="str">
        <x:v>not_verified_at_property_level</x:v>
      </x:c>
      <x:c r="I116" s="7" t="str">
        <x:v>Not verified</x:v>
      </x:c>
      <x:c r="J116" s="7" t="str">
        <x:v>Park hours: 5:00am-midnight To reserve a sports field, call 503-823-2525.</x:v>
      </x:c>
      <x:c r="K116" s="7" t="str">
        <x:v>https://www.portland.gov/parks/hamilton-park</x:v>
      </x:c>
    </x:row>
    <x:row r="117" ht="23" customHeight="1">
      <x:c r="A117" s="8" t="str">
        <x:v>171</x:v>
      </x:c>
      <x:c r="B117" s="8" t="str">
        <x:v>Hancock Park</x:v>
      </x:c>
      <x:c r="C117" s="8" t="str">
        <x:v>developed-park</x:v>
      </x:c>
      <x:c r="D117" s="8" t="str">
        <x:v>public</x:v>
      </x:c>
      <x:c r="E117" s="8" t="n">
        <x:v>0</x:v>
      </x:c>
      <x:c r="F117" s="8" t="n">
        <x:v>0</x:v>
      </x:c>
      <x:c r="G117" s="8" t="n">
        <x:v>0</x:v>
      </x:c>
      <x:c r="H117" s="8" t="str">
        <x:v>not_verified_at_property_level</x:v>
      </x:c>
      <x:c r="I117" s="8" t="str">
        <x:v>Not verified</x:v>
      </x:c>
      <x:c r="J117" s="8" t="str">
        <x:v>Park hours: 5:00am-midnight</x:v>
      </x:c>
      <x:c r="K117" s="8" t="str">
        <x:v>https://www.portland.gov/parks/hancock-park</x:v>
      </x:c>
    </x:row>
    <x:row r="118" ht="23" customHeight="1">
      <x:c r="A118" s="7" t="str">
        <x:v>172</x:v>
      </x:c>
      <x:c r="B118" s="7" t="str">
        <x:v>Harbor View Property</x:v>
      </x:c>
      <x:c r="C118" s="7" t="str">
        <x:v>natural-area</x:v>
      </x:c>
      <x:c r="D118" s="7" t="str">
        <x:v>unverified</x:v>
      </x:c>
      <x:c r="E118" s="7" t="n">
        <x:v>0</x:v>
      </x:c>
      <x:c r="F118" s="7" t="n">
        <x:v>0</x:v>
      </x:c>
      <x:c r="G118" s="7" t="n">
        <x:v>0</x:v>
      </x:c>
      <x:c r="H118" s="7" t="str">
        <x:v>not_verified_at_property_level</x:v>
      </x:c>
      <x:c r="I118" s="7" t="str">
        <x:v>Not verified</x:v>
      </x:c>
      <x:c r="J118" s="7" t="str"/>
      <x:c r="K118" s="7" t="str"/>
    </x:row>
    <x:row r="119" ht="23" customHeight="1">
      <x:c r="A119" s="8" t="str">
        <x:v>173</x:v>
      </x:c>
      <x:c r="B119" s="8" t="str">
        <x:v>Harney Park</x:v>
      </x:c>
      <x:c r="C119" s="8" t="str">
        <x:v>developed-park</x:v>
      </x:c>
      <x:c r="D119" s="8" t="str">
        <x:v>public</x:v>
      </x:c>
      <x:c r="E119" s="8" t="n">
        <x:v>0</x:v>
      </x:c>
      <x:c r="F119" s="8" t="n">
        <x:v>0</x:v>
      </x:c>
      <x:c r="G119" s="8" t="n">
        <x:v>0</x:v>
      </x:c>
      <x:c r="H119" s="8" t="str">
        <x:v>not_verified_at_property_level</x:v>
      </x:c>
      <x:c r="I119" s="8" t="str">
        <x:v>Not verified</x:v>
      </x:c>
      <x:c r="J119" s="8" t="str">
        <x:v>Park hours: 5:00am-midnight To reserve a sports field, call 503-823-2525.</x:v>
      </x:c>
      <x:c r="K119" s="8" t="str">
        <x:v>https://www.portland.gov/parks/harney-park</x:v>
      </x:c>
    </x:row>
    <x:row r="120" ht="23" customHeight="1">
      <x:c r="A120" s="7" t="str">
        <x:v>175</x:v>
      </x:c>
      <x:c r="B120" s="7" t="str">
        <x:v>Harrison Park</x:v>
      </x:c>
      <x:c r="C120" s="7" t="str">
        <x:v>developed-park</x:v>
      </x:c>
      <x:c r="D120" s="7" t="str">
        <x:v>public</x:v>
      </x:c>
      <x:c r="E120" s="7" t="n">
        <x:v>0</x:v>
      </x:c>
      <x:c r="F120" s="7" t="n">
        <x:v>0</x:v>
      </x:c>
      <x:c r="G120" s="7" t="n">
        <x:v>0</x:v>
      </x:c>
      <x:c r="H120" s="7" t="str">
        <x:v>not_verified_at_property_level</x:v>
      </x:c>
      <x:c r="I120" s="7" t="str">
        <x:v>Not verified</x:v>
      </x:c>
      <x:c r="J120" s="7" t="str">
        <x:v>5:00am-midnight To reserve a sports field, call 503-823-2525.</x:v>
      </x:c>
      <x:c r="K120" s="7" t="str">
        <x:v>https://www.portland.gov/parks/harrison-park</x:v>
      </x:c>
    </x:row>
    <x:row r="121" ht="23" customHeight="1">
      <x:c r="A121" s="8" t="str">
        <x:v>1237</x:v>
      </x:c>
      <x:c r="B121" s="8" t="str">
        <x:v>Hazeltine Park</x:v>
      </x:c>
      <x:c r="C121" s="8" t="str">
        <x:v>natural-area</x:v>
      </x:c>
      <x:c r="D121" s="8" t="str">
        <x:v>public</x:v>
      </x:c>
      <x:c r="E121" s="8" t="n">
        <x:v>0</x:v>
      </x:c>
      <x:c r="F121" s="8" t="n">
        <x:v>0</x:v>
      </x:c>
      <x:c r="G121" s="8" t="n">
        <x:v>0</x:v>
      </x:c>
      <x:c r="H121" s="8" t="str">
        <x:v>not_verified_at_property_level</x:v>
      </x:c>
      <x:c r="I121" s="8" t="str">
        <x:v>Not verified</x:v>
      </x:c>
      <x:c r="J121" s="8" t="str">
        <x:v>Park hours: 5:00am-midnight</x:v>
      </x:c>
      <x:c r="K121" s="8" t="str">
        <x:v>https://www.portland.gov/parks/hazeltine-park</x:v>
      </x:c>
    </x:row>
    <x:row r="122" ht="23" customHeight="1">
      <x:c r="A122" s="7" t="str">
        <x:v>1336</x:v>
      </x:c>
      <x:c r="B122" s="7" t="str">
        <x:v>Hazelwood Community Garden</x:v>
      </x:c>
      <x:c r="C122" s="7" t="str">
        <x:v>community-garden</x:v>
      </x:c>
      <x:c r="D122" s="7" t="str">
        <x:v>limited</x:v>
      </x:c>
      <x:c r="E122" s="7" t="n">
        <x:v>0</x:v>
      </x:c>
      <x:c r="F122" s="7" t="n">
        <x:v>0</x:v>
      </x:c>
      <x:c r="G122" s="7" t="n">
        <x:v>0</x:v>
      </x:c>
      <x:c r="H122" s="7" t="str">
        <x:v>not_verified_at_property_level</x:v>
      </x:c>
      <x:c r="I122" s="7" t="str">
        <x:v>Not verified</x:v>
      </x:c>
      <x:c r="J122" s="7" t="str"/>
      <x:c r="K122" s="7" t="str">
        <x:v>https://www.portland.gov/parks/hazelwood-community-garden</x:v>
      </x:c>
    </x:row>
    <x:row r="123" ht="23" customHeight="1">
      <x:c r="A123" s="8" t="str">
        <x:v>178</x:v>
      </x:c>
      <x:c r="B123" s="8" t="str">
        <x:v>Healy Heights Park</x:v>
      </x:c>
      <x:c r="C123" s="8" t="str">
        <x:v>developed-park</x:v>
      </x:c>
      <x:c r="D123" s="8" t="str">
        <x:v>public</x:v>
      </x:c>
      <x:c r="E123" s="8" t="n">
        <x:v>0</x:v>
      </x:c>
      <x:c r="F123" s="8" t="n">
        <x:v>0</x:v>
      </x:c>
      <x:c r="G123" s="8" t="n">
        <x:v>0</x:v>
      </x:c>
      <x:c r="H123" s="8" t="str">
        <x:v>not_verified_at_property_level</x:v>
      </x:c>
      <x:c r="I123" s="8" t="str">
        <x:v>Not verified</x:v>
      </x:c>
      <x:c r="J123" s="8" t="str">
        <x:v>Park hours: 5:00am-midnight To reserve a sports field, call 503-823-2525.</x:v>
      </x:c>
      <x:c r="K123" s="8" t="str">
        <x:v>https://www.portland.gov/parks/healy-heights-park</x:v>
      </x:c>
    </x:row>
    <x:row r="124" ht="23" customHeight="1">
      <x:c r="A124" s="7" t="str">
        <x:v>1459</x:v>
      </x:c>
      <x:c r="B124" s="7" t="str">
        <x:v>Helensview Community Garden</x:v>
      </x:c>
      <x:c r="C124" s="7" t="str">
        <x:v>community-garden</x:v>
      </x:c>
      <x:c r="D124" s="7" t="str">
        <x:v>limited</x:v>
      </x:c>
      <x:c r="E124" s="7" t="n">
        <x:v>0</x:v>
      </x:c>
      <x:c r="F124" s="7" t="n">
        <x:v>0</x:v>
      </x:c>
      <x:c r="G124" s="7" t="n">
        <x:v>0</x:v>
      </x:c>
      <x:c r="H124" s="7" t="str">
        <x:v>not_verified_at_property_level</x:v>
      </x:c>
      <x:c r="I124" s="7" t="str">
        <x:v>Not verified</x:v>
      </x:c>
      <x:c r="J124" s="7" t="str"/>
      <x:c r="K124" s="7" t="str">
        <x:v>https://www.portland.gov/parks/helensview-community-garden</x:v>
      </x:c>
    </x:row>
    <x:row r="125" ht="23" customHeight="1">
      <x:c r="A125" s="8" t="str">
        <x:v>179</x:v>
      </x:c>
      <x:c r="B125" s="8" t="str">
        <x:v>Heritage Tree Park</x:v>
      </x:c>
      <x:c r="C125" s="8" t="str">
        <x:v>uncertain</x:v>
      </x:c>
      <x:c r="D125" s="8" t="str">
        <x:v>unverified</x:v>
      </x:c>
      <x:c r="E125" s="8" t="n">
        <x:v>0</x:v>
      </x:c>
      <x:c r="F125" s="8" t="n">
        <x:v>0</x:v>
      </x:c>
      <x:c r="G125" s="8" t="n">
        <x:v>0</x:v>
      </x:c>
      <x:c r="H125" s="8" t="str">
        <x:v>not_verified_at_property_level</x:v>
      </x:c>
      <x:c r="I125" s="8" t="str">
        <x:v>Not verified</x:v>
      </x:c>
      <x:c r="J125" s="8" t="str"/>
      <x:c r="K125" s="8" t="str"/>
    </x:row>
    <x:row r="126" ht="23" customHeight="1">
      <x:c r="A126" s="7" t="str">
        <x:v>180</x:v>
      </x:c>
      <x:c r="B126" s="7" t="str">
        <x:v>Heron Lakes Golf Course</x:v>
      </x:c>
      <x:c r="C126" s="7" t="str">
        <x:v>golf-raceway</x:v>
      </x:c>
      <x:c r="D126" s="7" t="str">
        <x:v>limited</x:v>
      </x:c>
      <x:c r="E126" s="7" t="n">
        <x:v>0</x:v>
      </x:c>
      <x:c r="F126" s="7" t="n">
        <x:v>0</x:v>
      </x:c>
      <x:c r="G126" s="7" t="n">
        <x:v>0</x:v>
      </x:c>
      <x:c r="H126" s="7" t="str">
        <x:v>not_verified_at_property_level</x:v>
      </x:c>
      <x:c r="I126" s="7" t="str">
        <x:v>Not verified</x:v>
      </x:c>
      <x:c r="J126" s="7" t="str">
        <x:v>Golf Course: 7am to 7pm Driving range: 7am to 8pm* Bar and grill: 7am to 8pm *Monday morning range opens two hours late. Last range token sold 30 minutes before sunset.</x:v>
      </x:c>
      <x:c r="K126" s="7" t="str">
        <x:v>https://www.portland.gov/parks/heron-lakes-golf-course</x:v>
      </x:c>
    </x:row>
    <x:row r="127" ht="23" customHeight="1">
      <x:c r="A127" s="8" t="str">
        <x:v>183</x:v>
      </x:c>
      <x:c r="B127" s="8" t="str">
        <x:v>Hillsdale Park</x:v>
      </x:c>
      <x:c r="C127" s="8" t="str">
        <x:v>developed-park</x:v>
      </x:c>
      <x:c r="D127" s="8" t="str">
        <x:v>public</x:v>
      </x:c>
      <x:c r="E127" s="8" t="n">
        <x:v>0</x:v>
      </x:c>
      <x:c r="F127" s="8" t="n">
        <x:v>0</x:v>
      </x:c>
      <x:c r="G127" s="8" t="n">
        <x:v>0</x:v>
      </x:c>
      <x:c r="H127" s="8" t="str">
        <x:v>not_verified_at_property_level</x:v>
      </x:c>
      <x:c r="I127" s="8" t="str">
        <x:v>Not verified</x:v>
      </x:c>
      <x:c r="J127" s="8" t="str">
        <x:v>Park hours: 5:00am-midnight</x:v>
      </x:c>
      <x:c r="K127" s="8" t="str">
        <x:v>https://www.portland.gov/parks/hillsdale-park</x:v>
      </x:c>
    </x:row>
    <x:row r="128" ht="23" customHeight="1">
      <x:c r="A128" s="7" t="str">
        <x:v>185</x:v>
      </x:c>
      <x:c r="B128" s="7" t="str">
        <x:v>Hillside Park</x:v>
      </x:c>
      <x:c r="C128" s="7" t="str">
        <x:v>developed-park</x:v>
      </x:c>
      <x:c r="D128" s="7" t="str">
        <x:v>public</x:v>
      </x:c>
      <x:c r="E128" s="7" t="n">
        <x:v>0</x:v>
      </x:c>
      <x:c r="F128" s="7" t="n">
        <x:v>0</x:v>
      </x:c>
      <x:c r="G128" s="7" t="n">
        <x:v>0</x:v>
      </x:c>
      <x:c r="H128" s="7" t="str">
        <x:v>not_verified_at_property_level</x:v>
      </x:c>
      <x:c r="I128" s="7" t="str">
        <x:v>Not verified</x:v>
      </x:c>
      <x:c r="J128" s="7" t="str">
        <x:v>Park hours: 5am to midnight</x:v>
      </x:c>
      <x:c r="K128" s="7" t="str">
        <x:v>https://www.portland.gov/parks/hillside-park</x:v>
      </x:c>
    </x:row>
    <x:row r="129" ht="23" customHeight="1">
      <x:c r="A129" s="8" t="str">
        <x:v>186</x:v>
      </x:c>
      <x:c r="B129" s="8" t="str">
        <x:v>Holladay Park</x:v>
      </x:c>
      <x:c r="C129" s="8" t="str">
        <x:v>developed-park</x:v>
      </x:c>
      <x:c r="D129" s="8" t="str">
        <x:v>public</x:v>
      </x:c>
      <x:c r="E129" s="8" t="n">
        <x:v>0</x:v>
      </x:c>
      <x:c r="F129" s="8" t="n">
        <x:v>0</x:v>
      </x:c>
      <x:c r="G129" s="8" t="n">
        <x:v>0</x:v>
      </x:c>
      <x:c r="H129" s="8" t="str">
        <x:v>not_verified_at_property_level</x:v>
      </x:c>
      <x:c r="I129" s="8" t="str">
        <x:v>Not verified</x:v>
      </x:c>
      <x:c r="J129" s="8" t="str">
        <x:v>Park hours: 5:00am-midnight</x:v>
      </x:c>
      <x:c r="K129" s="8" t="str">
        <x:v>https://www.portland.gov/parks/holladay-park</x:v>
      </x:c>
    </x:row>
    <x:row r="130" ht="23" customHeight="1">
      <x:c r="A130" s="7" t="str">
        <x:v>1239</x:v>
      </x:c>
      <x:c r="B130" s="7" t="str">
        <x:v>Holly Farm Park</x:v>
      </x:c>
      <x:c r="C130" s="7" t="str">
        <x:v>developed-park</x:v>
      </x:c>
      <x:c r="D130" s="7" t="str">
        <x:v>public</x:v>
      </x:c>
      <x:c r="E130" s="7" t="n">
        <x:v>0</x:v>
      </x:c>
      <x:c r="F130" s="7" t="n">
        <x:v>0</x:v>
      </x:c>
      <x:c r="G130" s="7" t="n">
        <x:v>0</x:v>
      </x:c>
      <x:c r="H130" s="7" t="str">
        <x:v>not_verified_at_property_level</x:v>
      </x:c>
      <x:c r="I130" s="7" t="str">
        <x:v>Not verified</x:v>
      </x:c>
      <x:c r="J130" s="7" t="str">
        <x:v>Park hours: 5:00am-midnight</x:v>
      </x:c>
      <x:c r="K130" s="7" t="str">
        <x:v>https://www.portland.gov/parks/holly-farm-park</x:v>
      </x:c>
    </x:row>
    <x:row r="131" ht="23" customHeight="1">
      <x:c r="A131" s="8" t="str">
        <x:v>189</x:v>
      </x:c>
      <x:c r="B131" s="8" t="str">
        <x:v>Hoyt Arboretum</x:v>
      </x:c>
      <x:c r="C131" s="8" t="str">
        <x:v>garden</x:v>
      </x:c>
      <x:c r="D131" s="8" t="str">
        <x:v>limited</x:v>
      </x:c>
      <x:c r="E131" s="8" t="n">
        <x:v>0</x:v>
      </x:c>
      <x:c r="F131" s="8" t="n">
        <x:v>1</x:v>
      </x:c>
      <x:c r="G131" s="8" t="n">
        <x:v>1</x:v>
      </x:c>
      <x:c r="H131" s="8" t="str">
        <x:v>not_verified_at_property_level</x:v>
      </x:c>
      <x:c r="I131" s="8" t="str">
        <x:v>Not verified</x:v>
      </x:c>
      <x:c r="J131" s="8" t="str">
        <x:v>Park hours: 5:00am-9:30pm. The parking lot and access roads are closed at 9:30pm. To reserve a picnic area, call 503-823-2525. Picnic Site Maps and Info</x:v>
      </x:c>
      <x:c r="K131" s="8" t="str">
        <x:v>https://www.portland.gov/parks/hoyt-arboretum</x:v>
      </x:c>
    </x:row>
    <x:row r="132" ht="23" customHeight="1">
      <x:c r="A132" s="7" t="str">
        <x:v>863</x:v>
      </x:c>
      <x:c r="B132" s="7" t="str">
        <x:v>Ida B Wells-Barnett Outdoor Pool</x:v>
      </x:c>
      <x:c r="C132" s="7" t="str">
        <x:v>facility-site</x:v>
      </x:c>
      <x:c r="D132" s="7" t="str">
        <x:v>limited</x:v>
      </x:c>
      <x:c r="E132" s="7" t="n">
        <x:v>0</x:v>
      </x:c>
      <x:c r="F132" s="7" t="n">
        <x:v>0</x:v>
      </x:c>
      <x:c r="G132" s="7" t="n">
        <x:v>0</x:v>
      </x:c>
      <x:c r="H132" s="7" t="str">
        <x:v>not_verified_at_property_level</x:v>
      </x:c>
      <x:c r="I132" s="7" t="str">
        <x:v>Not verified</x:v>
      </x:c>
      <x:c r="J132" s="7" t="str">
        <x:v>Closed</x:v>
      </x:c>
      <x:c r="K132" s="7" t="str">
        <x:v>https://www.portland.gov/parks/ida-b-wells-barnett-outdoor-pool</x:v>
      </x:c>
    </x:row>
    <x:row r="133" ht="23" customHeight="1">
      <x:c r="A133" s="8" t="str">
        <x:v>1458</x:v>
      </x:c>
      <x:c r="B133" s="8" t="str">
        <x:v>Indian Creek Natural Area</x:v>
      </x:c>
      <x:c r="C133" s="8" t="str">
        <x:v>natural-area</x:v>
      </x:c>
      <x:c r="D133" s="8" t="str">
        <x:v>unverified</x:v>
      </x:c>
      <x:c r="E133" s="8" t="n">
        <x:v>0</x:v>
      </x:c>
      <x:c r="F133" s="8" t="n">
        <x:v>0</x:v>
      </x:c>
      <x:c r="G133" s="8" t="n">
        <x:v>0</x:v>
      </x:c>
      <x:c r="H133" s="8" t="str">
        <x:v>not_verified_at_property_level</x:v>
      </x:c>
      <x:c r="I133" s="8" t="str">
        <x:v>Not verified</x:v>
      </x:c>
      <x:c r="J133" s="8" t="str"/>
      <x:c r="K133" s="8" t="str"/>
    </x:row>
    <x:row r="134" ht="23" customHeight="1">
      <x:c r="A134" s="7" t="str">
        <x:v>191</x:v>
      </x:c>
      <x:c r="B134" s="7" t="str">
        <x:v>Interstate Firehouse Cultural Center</x:v>
      </x:c>
      <x:c r="C134" s="7" t="str">
        <x:v>facility-site</x:v>
      </x:c>
      <x:c r="D134" s="7" t="str">
        <x:v>limited</x:v>
      </x:c>
      <x:c r="E134" s="7" t="n">
        <x:v>0</x:v>
      </x:c>
      <x:c r="F134" s="7" t="n">
        <x:v>0</x:v>
      </x:c>
      <x:c r="G134" s="7" t="n">
        <x:v>0</x:v>
      </x:c>
      <x:c r="H134" s="7" t="str">
        <x:v>not_verified_at_property_level</x:v>
      </x:c>
      <x:c r="I134" s="7" t="str">
        <x:v>Not verified</x:v>
      </x:c>
      <x:c r="J134" s="7" t="str"/>
      <x:c r="K134" s="7" t="str">
        <x:v>https://www.portland.gov/parks/interstate-firehouse-cultural-center</x:v>
      </x:c>
    </x:row>
    <x:row r="135" ht="23" customHeight="1">
      <x:c r="A135" s="8" t="str">
        <x:v>194</x:v>
      </x:c>
      <x:c r="B135" s="8" t="str">
        <x:v>Ira Keller Fountain Park</x:v>
      </x:c>
      <x:c r="C135" s="8" t="str">
        <x:v>plaza-memorial</x:v>
      </x:c>
      <x:c r="D135" s="8" t="str">
        <x:v>unverified</x:v>
      </x:c>
      <x:c r="E135" s="8" t="n">
        <x:v>0</x:v>
      </x:c>
      <x:c r="F135" s="8" t="n">
        <x:v>0</x:v>
      </x:c>
      <x:c r="G135" s="8" t="n">
        <x:v>0</x:v>
      </x:c>
      <x:c r="H135" s="8" t="str">
        <x:v>not_verified_at_property_level</x:v>
      </x:c>
      <x:c r="I135" s="8" t="str">
        <x:v>Not verified</x:v>
      </x:c>
      <x:c r="J135" s="8" t="str"/>
      <x:c r="K135" s="8" t="str"/>
    </x:row>
    <x:row r="136" ht="23" customHeight="1">
      <x:c r="A136" s="7" t="str">
        <x:v>195</x:v>
      </x:c>
      <x:c r="B136" s="7" t="str">
        <x:v>Irving Park</x:v>
      </x:c>
      <x:c r="C136" s="7" t="str">
        <x:v>developed-park</x:v>
      </x:c>
      <x:c r="D136" s="7" t="str">
        <x:v>public</x:v>
      </x:c>
      <x:c r="E136" s="7" t="n">
        <x:v>0</x:v>
      </x:c>
      <x:c r="F136" s="7" t="n">
        <x:v>2</x:v>
      </x:c>
      <x:c r="G136" s="7" t="n">
        <x:v>2</x:v>
      </x:c>
      <x:c r="H136" s="7" t="str">
        <x:v>not_verified_at_property_level</x:v>
      </x:c>
      <x:c r="I136" s="7" t="str">
        <x:v>Not verified</x:v>
      </x:c>
      <x:c r="J136" s="7" t="str">
        <x:v>5:00am-10:00pm</x:v>
      </x:c>
      <x:c r="K136" s="7" t="str">
        <x:v>https://www.portland.gov/parks/irving-park</x:v>
      </x:c>
    </x:row>
    <x:row r="137" ht="23" customHeight="1">
      <x:c r="A137" s="8" t="str">
        <x:v>197</x:v>
      </x:c>
      <x:c r="B137" s="8" t="str">
        <x:v>Ivon Community Garden</x:v>
      </x:c>
      <x:c r="C137" s="8" t="str">
        <x:v>community-garden</x:v>
      </x:c>
      <x:c r="D137" s="8" t="str">
        <x:v>limited</x:v>
      </x:c>
      <x:c r="E137" s="8" t="n">
        <x:v>0</x:v>
      </x:c>
      <x:c r="F137" s="8" t="n">
        <x:v>0</x:v>
      </x:c>
      <x:c r="G137" s="8" t="n">
        <x:v>0</x:v>
      </x:c>
      <x:c r="H137" s="8" t="str">
        <x:v>not_verified_at_property_level</x:v>
      </x:c>
      <x:c r="I137" s="8" t="str">
        <x:v>Not verified</x:v>
      </x:c>
      <x:c r="J137" s="8" t="str"/>
      <x:c r="K137" s="8" t="str">
        <x:v>https://www.portland.gov/parks/ivon-community-garden</x:v>
      </x:c>
    </x:row>
    <x:row r="138" ht="23" customHeight="1">
      <x:c r="A138" s="7" t="str">
        <x:v>1140</x:v>
      </x:c>
      <x:c r="B138" s="7" t="str">
        <x:v>Jamison Square</x:v>
      </x:c>
      <x:c r="C138" s="7" t="str">
        <x:v>plaza-memorial</x:v>
      </x:c>
      <x:c r="D138" s="7" t="str">
        <x:v>public</x:v>
      </x:c>
      <x:c r="E138" s="7" t="n">
        <x:v>0</x:v>
      </x:c>
      <x:c r="F138" s="7" t="n">
        <x:v>0</x:v>
      </x:c>
      <x:c r="G138" s="7" t="n">
        <x:v>0</x:v>
      </x:c>
      <x:c r="H138" s="7" t="str">
        <x:v>not_verified_at_property_level</x:v>
      </x:c>
      <x:c r="I138" s="7" t="str">
        <x:v>Not verified</x:v>
      </x:c>
      <x:c r="J138" s="7" t="str">
        <x:v>Park hours: 5am to 10pm</x:v>
      </x:c>
      <x:c r="K138" s="7" t="str">
        <x:v>https://www.portland.gov/parks/jamison-square</x:v>
      </x:c>
    </x:row>
    <x:row r="139" ht="23" customHeight="1">
      <x:c r="A139" s="8" t="str">
        <x:v>900</x:v>
      </x:c>
      <x:c r="B139" s="8" t="str">
        <x:v>Jefferson Street Property</x:v>
      </x:c>
      <x:c r="C139" s="8" t="str">
        <x:v>natural-area</x:v>
      </x:c>
      <x:c r="D139" s="8" t="str">
        <x:v>unverified</x:v>
      </x:c>
      <x:c r="E139" s="8" t="n">
        <x:v>0</x:v>
      </x:c>
      <x:c r="F139" s="8" t="n">
        <x:v>0</x:v>
      </x:c>
      <x:c r="G139" s="8" t="n">
        <x:v>0</x:v>
      </x:c>
      <x:c r="H139" s="8" t="str">
        <x:v>not_verified_at_property_level</x:v>
      </x:c>
      <x:c r="I139" s="8" t="str">
        <x:v>Not verified</x:v>
      </x:c>
      <x:c r="J139" s="8" t="str"/>
      <x:c r="K139" s="8" t="str"/>
    </x:row>
    <x:row r="140" ht="23" customHeight="1">
      <x:c r="A140" s="7" t="str">
        <x:v>201</x:v>
      </x:c>
      <x:c r="B140" s="7" t="str">
        <x:v>Jensen Natural Area</x:v>
      </x:c>
      <x:c r="C140" s="7" t="str">
        <x:v>natural-area</x:v>
      </x:c>
      <x:c r="D140" s="7" t="str">
        <x:v>unverified</x:v>
      </x:c>
      <x:c r="E140" s="7" t="n">
        <x:v>0</x:v>
      </x:c>
      <x:c r="F140" s="7" t="n">
        <x:v>0</x:v>
      </x:c>
      <x:c r="G140" s="7" t="n">
        <x:v>0</x:v>
      </x:c>
      <x:c r="H140" s="7" t="str">
        <x:v>not_verified_at_property_level</x:v>
      </x:c>
      <x:c r="I140" s="7" t="str">
        <x:v>Not verified</x:v>
      </x:c>
      <x:c r="J140" s="7" t="str"/>
      <x:c r="K140" s="7" t="str"/>
    </x:row>
    <x:row r="141" ht="23" customHeight="1">
      <x:c r="A141" s="8" t="str">
        <x:v>202</x:v>
      </x:c>
      <x:c r="B141" s="8" t="str">
        <x:v>John Luby Park</x:v>
      </x:c>
      <x:c r="C141" s="8" t="str">
        <x:v>developed-park</x:v>
      </x:c>
      <x:c r="D141" s="8" t="str">
        <x:v>public</x:v>
      </x:c>
      <x:c r="E141" s="8" t="n">
        <x:v>0</x:v>
      </x:c>
      <x:c r="F141" s="8" t="n">
        <x:v>0</x:v>
      </x:c>
      <x:c r="G141" s="8" t="n">
        <x:v>0</x:v>
      </x:c>
      <x:c r="H141" s="8" t="str">
        <x:v>not_verified_at_property_level</x:v>
      </x:c>
      <x:c r="I141" s="8" t="str">
        <x:v>Not verified</x:v>
      </x:c>
      <x:c r="J141" s="8" t="str">
        <x:v>Park hours: 5:00am-midnight</x:v>
      </x:c>
      <x:c r="K141" s="8" t="str">
        <x:v>https://www.portland.gov/parks/john-luby-park</x:v>
      </x:c>
    </x:row>
    <x:row r="142" ht="23" customHeight="1">
      <x:c r="A142" s="7" t="str">
        <x:v>203</x:v>
      </x:c>
      <x:c r="B142" s="7" t="str">
        <x:v>Johns Community Garden</x:v>
      </x:c>
      <x:c r="C142" s="7" t="str">
        <x:v>community-garden</x:v>
      </x:c>
      <x:c r="D142" s="7" t="str">
        <x:v>limited</x:v>
      </x:c>
      <x:c r="E142" s="7" t="n">
        <x:v>0</x:v>
      </x:c>
      <x:c r="F142" s="7" t="n">
        <x:v>0</x:v>
      </x:c>
      <x:c r="G142" s="7" t="n">
        <x:v>0</x:v>
      </x:c>
      <x:c r="H142" s="7" t="str">
        <x:v>not_verified_at_property_level</x:v>
      </x:c>
      <x:c r="I142" s="7" t="str">
        <x:v>Not verified</x:v>
      </x:c>
      <x:c r="J142" s="7" t="str"/>
      <x:c r="K142" s="7" t="str">
        <x:v>https://www.portland.gov/parks/johns-community-garden</x:v>
      </x:c>
    </x:row>
    <x:row r="143" ht="23" customHeight="1">
      <x:c r="A143" s="8" t="str">
        <x:v>205</x:v>
      </x:c>
      <x:c r="B143" s="8" t="str">
        <x:v>Johnson Creek Park</x:v>
      </x:c>
      <x:c r="C143" s="8" t="str">
        <x:v>natural-area</x:v>
      </x:c>
      <x:c r="D143" s="8" t="str">
        <x:v>public</x:v>
      </x:c>
      <x:c r="E143" s="8" t="n">
        <x:v>0</x:v>
      </x:c>
      <x:c r="F143" s="8" t="n">
        <x:v>0</x:v>
      </x:c>
      <x:c r="G143" s="8" t="n">
        <x:v>0</x:v>
      </x:c>
      <x:c r="H143" s="8" t="str">
        <x:v>not_verified_at_property_level</x:v>
      </x:c>
      <x:c r="I143" s="8" t="str">
        <x:v>Not verified</x:v>
      </x:c>
      <x:c r="J143" s="8" t="str">
        <x:v>Park hours: 5:00am-midnight</x:v>
      </x:c>
      <x:c r="K143" s="8" t="str">
        <x:v>https://www.portland.gov/parks/johnson-creek-park</x:v>
      </x:c>
    </x:row>
    <x:row r="144" ht="23" customHeight="1">
      <x:c r="A144" s="7" t="str">
        <x:v>207</x:v>
      </x:c>
      <x:c r="B144" s="7" t="str">
        <x:v>Johnson Lake Property</x:v>
      </x:c>
      <x:c r="C144" s="7" t="str">
        <x:v>natural-area</x:v>
      </x:c>
      <x:c r="D144" s="7" t="str">
        <x:v>unverified</x:v>
      </x:c>
      <x:c r="E144" s="7" t="n">
        <x:v>0</x:v>
      </x:c>
      <x:c r="F144" s="7" t="n">
        <x:v>0</x:v>
      </x:c>
      <x:c r="G144" s="7" t="n">
        <x:v>0</x:v>
      </x:c>
      <x:c r="H144" s="7" t="str">
        <x:v>not_verified_at_property_level</x:v>
      </x:c>
      <x:c r="I144" s="7" t="str">
        <x:v>Not verified</x:v>
      </x:c>
      <x:c r="J144" s="7" t="str"/>
      <x:c r="K144" s="7" t="str"/>
    </x:row>
    <x:row r="145" ht="23" customHeight="1">
      <x:c r="A145" s="8" t="str">
        <x:v>1196</x:v>
      </x:c>
      <x:c r="B145" s="8" t="str">
        <x:v>Johnswood Property</x:v>
      </x:c>
      <x:c r="C145" s="8" t="str">
        <x:v>uncertain</x:v>
      </x:c>
      <x:c r="D145" s="8" t="str">
        <x:v>unverified</x:v>
      </x:c>
      <x:c r="E145" s="8" t="n">
        <x:v>0</x:v>
      </x:c>
      <x:c r="F145" s="8" t="n">
        <x:v>0</x:v>
      </x:c>
      <x:c r="G145" s="8" t="n">
        <x:v>0</x:v>
      </x:c>
      <x:c r="H145" s="8" t="str">
        <x:v>not_verified_at_property_level</x:v>
      </x:c>
      <x:c r="I145" s="8" t="str">
        <x:v>Not verified</x:v>
      </x:c>
      <x:c r="J145" s="8" t="str"/>
      <x:c r="K145" s="8" t="str"/>
    </x:row>
    <x:row r="146" ht="23" customHeight="1">
      <x:c r="A146" s="7" t="str">
        <x:v>1291</x:v>
      </x:c>
      <x:c r="B146" s="7" t="str">
        <x:v>Joseph Wood Hill Park</x:v>
      </x:c>
      <x:c r="C146" s="7" t="str">
        <x:v>developed-park</x:v>
      </x:c>
      <x:c r="D146" s="7" t="str">
        <x:v>public</x:v>
      </x:c>
      <x:c r="E146" s="7" t="n">
        <x:v>0</x:v>
      </x:c>
      <x:c r="F146" s="7" t="n">
        <x:v>0</x:v>
      </x:c>
      <x:c r="G146" s="7" t="n">
        <x:v>0</x:v>
      </x:c>
      <x:c r="H146" s="7" t="str">
        <x:v>not_verified_at_property_level</x:v>
      </x:c>
      <x:c r="I146" s="7" t="str">
        <x:v>Not verified</x:v>
      </x:c>
      <x:c r="J146" s="7" t="str">
        <x:v>Open from 5:00 am to midnight. Parking around the park is restricted in the evenings; review parking signs carefully.</x:v>
      </x:c>
      <x:c r="K146" s="7" t="str">
        <x:v>https://www.portland.gov/parks/joseph-wood-hill-park</x:v>
      </x:c>
    </x:row>
    <x:row r="147" ht="23" customHeight="1">
      <x:c r="A147" s="8" t="str">
        <x:v>209</x:v>
      </x:c>
      <x:c r="B147" s="8" t="str">
        <x:v>Kelley Point Park</x:v>
      </x:c>
      <x:c r="C147" s="8" t="str">
        <x:v>developed-park</x:v>
      </x:c>
      <x:c r="D147" s="8" t="str">
        <x:v>restricted</x:v>
      </x:c>
      <x:c r="E147" s="8" t="n">
        <x:v>0</x:v>
      </x:c>
      <x:c r="F147" s="8" t="n">
        <x:v>6</x:v>
      </x:c>
      <x:c r="G147" s="8" t="n">
        <x:v>6</x:v>
      </x:c>
      <x:c r="H147" s="8" t="str">
        <x:v>not_verified_at_property_level</x:v>
      </x:c>
      <x:c r="I147" s="8" t="str">
        <x:v>Not verified</x:v>
      </x:c>
      <x:c r="J147" s="8" t="str">
        <x:v>Park Hours: 7am to 10pm The gravel canoe launch will be temporarily closed for trail construction from mid-May 2026 - late fall 2026. Learn more about this project. Park users are prohibited from entering the water at Kelley Point Park due to unsafe and unpredictable conditions. To reserve a picnic area, call 503-823-2525 or visit our Picnic Reservation page .</x:v>
      </x:c>
      <x:c r="K147" s="8" t="str">
        <x:v>https://www.portland.gov/parks/kelley-point-park</x:v>
      </x:c>
    </x:row>
    <x:row r="148" ht="23" customHeight="1">
      <x:c r="A148" s="7" t="str">
        <x:v>210</x:v>
      </x:c>
      <x:c r="B148" s="7" t="str">
        <x:v>Kelly Butte Natural Area</x:v>
      </x:c>
      <x:c r="C148" s="7" t="str">
        <x:v>natural-area</x:v>
      </x:c>
      <x:c r="D148" s="7" t="str">
        <x:v>unverified</x:v>
      </x:c>
      <x:c r="E148" s="7" t="n">
        <x:v>0</x:v>
      </x:c>
      <x:c r="F148" s="7" t="n">
        <x:v>0</x:v>
      </x:c>
      <x:c r="G148" s="7" t="n">
        <x:v>0</x:v>
      </x:c>
      <x:c r="H148" s="7" t="str">
        <x:v>not_verified_at_property_level</x:v>
      </x:c>
      <x:c r="I148" s="7" t="str">
        <x:v>Not verified</x:v>
      </x:c>
      <x:c r="J148" s="7" t="str"/>
      <x:c r="K148" s="7" t="str">
        <x:v>https://www.portland.gov/parks/kelly-butte-natural-area</x:v>
      </x:c>
    </x:row>
    <x:row r="149" ht="23" customHeight="1">
      <x:c r="A149" s="8" t="str">
        <x:v>213</x:v>
      </x:c>
      <x:c r="B149" s="8" t="str">
        <x:v>Kenilworth Park</x:v>
      </x:c>
      <x:c r="C149" s="8" t="str">
        <x:v>developed-park</x:v>
      </x:c>
      <x:c r="D149" s="8" t="str">
        <x:v>public</x:v>
      </x:c>
      <x:c r="E149" s="8" t="n">
        <x:v>0</x:v>
      </x:c>
      <x:c r="F149" s="8" t="n">
        <x:v>0</x:v>
      </x:c>
      <x:c r="G149" s="8" t="n">
        <x:v>0</x:v>
      </x:c>
      <x:c r="H149" s="8" t="str">
        <x:v>not_verified_at_property_level</x:v>
      </x:c>
      <x:c r="I149" s="8" t="str">
        <x:v>Not verified</x:v>
      </x:c>
      <x:c r="J149" s="8" t="str">
        <x:v>Park hours: 5:00am-midnight To reserve a sports field, call 503-823-2525.</x:v>
      </x:c>
      <x:c r="K149" s="8" t="str">
        <x:v>https://www.portland.gov/parks/kenilworth-park</x:v>
      </x:c>
    </x:row>
    <x:row r="150" ht="23" customHeight="1">
      <x:c r="A150" s="7" t="str">
        <x:v>214</x:v>
      </x:c>
      <x:c r="B150" s="7" t="str">
        <x:v>Kennedy Community Garden</x:v>
      </x:c>
      <x:c r="C150" s="7" t="str">
        <x:v>community-garden</x:v>
      </x:c>
      <x:c r="D150" s="7" t="str">
        <x:v>limited</x:v>
      </x:c>
      <x:c r="E150" s="7" t="n">
        <x:v>0</x:v>
      </x:c>
      <x:c r="F150" s="7" t="n">
        <x:v>0</x:v>
      </x:c>
      <x:c r="G150" s="7" t="n">
        <x:v>0</x:v>
      </x:c>
      <x:c r="H150" s="7" t="str">
        <x:v>not_verified_at_property_level</x:v>
      </x:c>
      <x:c r="I150" s="7" t="str">
        <x:v>Not verified</x:v>
      </x:c>
      <x:c r="J150" s="7" t="str"/>
      <x:c r="K150" s="7" t="str">
        <x:v>https://www.portland.gov/parks/kennedy-community-garden</x:v>
      </x:c>
    </x:row>
    <x:row r="151" ht="23" customHeight="1">
      <x:c r="A151" s="8" t="str">
        <x:v>1415</x:v>
      </x:c>
      <x:c r="B151" s="8" t="str">
        <x:v>Kenton Community Garden</x:v>
      </x:c>
      <x:c r="C151" s="8" t="str">
        <x:v>community-garden</x:v>
      </x:c>
      <x:c r="D151" s="8" t="str">
        <x:v>limited</x:v>
      </x:c>
      <x:c r="E151" s="8" t="n">
        <x:v>0</x:v>
      </x:c>
      <x:c r="F151" s="8" t="n">
        <x:v>0</x:v>
      </x:c>
      <x:c r="G151" s="8" t="n">
        <x:v>0</x:v>
      </x:c>
      <x:c r="H151" s="8" t="str">
        <x:v>not_verified_at_property_level</x:v>
      </x:c>
      <x:c r="I151" s="8" t="str">
        <x:v>Not verified</x:v>
      </x:c>
      <x:c r="J151" s="8" t="str"/>
      <x:c r="K151" s="8" t="str">
        <x:v>https://www.portland.gov/parks/kenton-community-garden</x:v>
      </x:c>
    </x:row>
    <x:row r="152" ht="23" customHeight="1">
      <x:c r="A152" s="7" t="str">
        <x:v>215</x:v>
      </x:c>
      <x:c r="B152" s="7" t="str">
        <x:v>Kenton Park</x:v>
      </x:c>
      <x:c r="C152" s="7" t="str">
        <x:v>developed-park</x:v>
      </x:c>
      <x:c r="D152" s="7" t="str">
        <x:v>public</x:v>
      </x:c>
      <x:c r="E152" s="7" t="n">
        <x:v>0</x:v>
      </x:c>
      <x:c r="F152" s="7" t="n">
        <x:v>0</x:v>
      </x:c>
      <x:c r="G152" s="7" t="n">
        <x:v>0</x:v>
      </x:c>
      <x:c r="H152" s="7" t="str">
        <x:v>not_verified_at_property_level</x:v>
      </x:c>
      <x:c r="I152" s="7" t="str">
        <x:v>Not verified</x:v>
      </x:c>
      <x:c r="J152" s="7" t="str">
        <x:v>Park hours: 5:00am-midnight To reserve a sports field, call 503-823-2525.</x:v>
      </x:c>
      <x:c r="K152" s="7" t="str">
        <x:v>https://www.portland.gov/parks/kenton-park</x:v>
      </x:c>
    </x:row>
    <x:row r="153" ht="23" customHeight="1">
      <x:c r="A153" s="8" t="str">
        <x:v>216</x:v>
      </x:c>
      <x:c r="B153" s="8" t="str">
        <x:v>Kern Park</x:v>
      </x:c>
      <x:c r="C153" s="8" t="str">
        <x:v>developed-park</x:v>
      </x:c>
      <x:c r="D153" s="8" t="str">
        <x:v>public</x:v>
      </x:c>
      <x:c r="E153" s="8" t="n">
        <x:v>0</x:v>
      </x:c>
      <x:c r="F153" s="8" t="n">
        <x:v>0</x:v>
      </x:c>
      <x:c r="G153" s="8" t="n">
        <x:v>0</x:v>
      </x:c>
      <x:c r="H153" s="8" t="str">
        <x:v>not_verified_at_property_level</x:v>
      </x:c>
      <x:c r="I153" s="8" t="str">
        <x:v>Not verified</x:v>
      </x:c>
      <x:c r="J153" s="8" t="str">
        <x:v>Park hours: 5:00am-midnight To reserve a sports field, call 503-823-2525.</x:v>
      </x:c>
      <x:c r="K153" s="8" t="str">
        <x:v>https://www.portland.gov/parks/kern-park</x:v>
      </x:c>
    </x:row>
    <x:row r="154" ht="23" customHeight="1">
      <x:c r="A154" s="7" t="str">
        <x:v>901</x:v>
      </x:c>
      <x:c r="B154" s="7" t="str">
        <x:v>Kerr Site</x:v>
      </x:c>
      <x:c r="C154" s="7" t="str">
        <x:v>natural-area</x:v>
      </x:c>
      <x:c r="D154" s="7" t="str">
        <x:v>unverified</x:v>
      </x:c>
      <x:c r="E154" s="7" t="n">
        <x:v>0</x:v>
      </x:c>
      <x:c r="F154" s="7" t="n">
        <x:v>0</x:v>
      </x:c>
      <x:c r="G154" s="7" t="n">
        <x:v>0</x:v>
      </x:c>
      <x:c r="H154" s="7" t="str">
        <x:v>not_verified_at_property_level</x:v>
      </x:c>
      <x:c r="I154" s="7" t="str">
        <x:v>Not verified</x:v>
      </x:c>
      <x:c r="J154" s="7" t="str"/>
      <x:c r="K154" s="7" t="str"/>
    </x:row>
    <x:row r="155" ht="23" customHeight="1">
      <x:c r="A155" s="8" t="str">
        <x:v>1384</x:v>
      </x:c>
      <x:c r="B155" s="8" t="str">
        <x:v>Khunamokwst Park</x:v>
      </x:c>
      <x:c r="C155" s="8" t="str">
        <x:v>developed-park</x:v>
      </x:c>
      <x:c r="D155" s="8" t="str">
        <x:v>public</x:v>
      </x:c>
      <x:c r="E155" s="8" t="n">
        <x:v>0</x:v>
      </x:c>
      <x:c r="F155" s="8" t="n">
        <x:v>1</x:v>
      </x:c>
      <x:c r="G155" s="8" t="n">
        <x:v>1</x:v>
      </x:c>
      <x:c r="H155" s="8" t="str">
        <x:v>not_verified_at_property_level</x:v>
      </x:c>
      <x:c r="I155" s="8" t="str">
        <x:v>Not verified</x:v>
      </x:c>
      <x:c r="J155" s="8" t="str">
        <x:v>Park Hours: 5:00am-midnight daily. To reserve a picnic area, call 503-823-2525. Picnic Sites and Info</x:v>
      </x:c>
      <x:c r="K155" s="8" t="str">
        <x:v>https://www.portland.gov/parks/khunamokwst-park</x:v>
      </x:c>
    </x:row>
    <x:row r="156" ht="23" customHeight="1">
      <x:c r="A156" s="7" t="str">
        <x:v>1201</x:v>
      </x:c>
      <x:c r="B156" s="7" t="str">
        <x:v>Kimmel Property</x:v>
      </x:c>
      <x:c r="C156" s="7" t="str">
        <x:v>natural-area</x:v>
      </x:c>
      <x:c r="D156" s="7" t="str">
        <x:v>unverified</x:v>
      </x:c>
      <x:c r="E156" s="7" t="n">
        <x:v>0</x:v>
      </x:c>
      <x:c r="F156" s="7" t="n">
        <x:v>0</x:v>
      </x:c>
      <x:c r="G156" s="7" t="n">
        <x:v>0</x:v>
      </x:c>
      <x:c r="H156" s="7" t="str">
        <x:v>not_verified_at_property_level</x:v>
      </x:c>
      <x:c r="I156" s="7" t="str">
        <x:v>Not verified</x:v>
      </x:c>
      <x:c r="J156" s="7" t="str"/>
      <x:c r="K156" s="7" t="str"/>
    </x:row>
    <x:row r="157" ht="23" customHeight="1">
      <x:c r="A157" s="8" t="str">
        <x:v>218</x:v>
      </x:c>
      <x:c r="B157" s="8" t="str">
        <x:v>Kingsley D Bundy Property</x:v>
      </x:c>
      <x:c r="C157" s="8" t="str">
        <x:v>natural-area</x:v>
      </x:c>
      <x:c r="D157" s="8" t="str">
        <x:v>unverified</x:v>
      </x:c>
      <x:c r="E157" s="8" t="n">
        <x:v>0</x:v>
      </x:c>
      <x:c r="F157" s="8" t="n">
        <x:v>0</x:v>
      </x:c>
      <x:c r="G157" s="8" t="n">
        <x:v>0</x:v>
      </x:c>
      <x:c r="H157" s="8" t="str">
        <x:v>not_verified_at_property_level</x:v>
      </x:c>
      <x:c r="I157" s="8" t="str">
        <x:v>Not verified</x:v>
      </x:c>
      <x:c r="J157" s="8" t="str"/>
      <x:c r="K157" s="8" t="str"/>
    </x:row>
    <x:row r="158" ht="23" customHeight="1">
      <x:c r="A158" s="7" t="str">
        <x:v>219</x:v>
      </x:c>
      <x:c r="B158" s="7" t="str">
        <x:v>Kingsley Park</x:v>
      </x:c>
      <x:c r="C158" s="7" t="str">
        <x:v>uncertain</x:v>
      </x:c>
      <x:c r="D158" s="7" t="str">
        <x:v>unverified</x:v>
      </x:c>
      <x:c r="E158" s="7" t="n">
        <x:v>0</x:v>
      </x:c>
      <x:c r="F158" s="7" t="n">
        <x:v>0</x:v>
      </x:c>
      <x:c r="G158" s="7" t="n">
        <x:v>0</x:v>
      </x:c>
      <x:c r="H158" s="7" t="str">
        <x:v>not_verified_at_property_level</x:v>
      </x:c>
      <x:c r="I158" s="7" t="str">
        <x:v>Not verified</x:v>
      </x:c>
      <x:c r="J158" s="7" t="str"/>
      <x:c r="K158" s="7" t="str"/>
    </x:row>
    <x:row r="159" ht="23" customHeight="1">
      <x:c r="A159" s="8" t="str">
        <x:v>220</x:v>
      </x:c>
      <x:c r="B159" s="8" t="str">
        <x:v>Knott Park</x:v>
      </x:c>
      <x:c r="C159" s="8" t="str">
        <x:v>developed-park</x:v>
      </x:c>
      <x:c r="D159" s="8" t="str">
        <x:v>public</x:v>
      </x:c>
      <x:c r="E159" s="8" t="n">
        <x:v>0</x:v>
      </x:c>
      <x:c r="F159" s="8" t="n">
        <x:v>0</x:v>
      </x:c>
      <x:c r="G159" s="8" t="n">
        <x:v>0</x:v>
      </x:c>
      <x:c r="H159" s="8" t="str">
        <x:v>not_verified_at_property_level</x:v>
      </x:c>
      <x:c r="I159" s="8" t="str">
        <x:v>Not verified</x:v>
      </x:c>
      <x:c r="J159" s="8" t="str">
        <x:v>Park hours: 5am to midnight. Parking lot closed at 10pm. To reserve a sports field, call 503-823-2525.</x:v>
      </x:c>
      <x:c r="K159" s="8" t="str">
        <x:v>https://www.portland.gov/parks/knott-park</x:v>
      </x:c>
    </x:row>
    <x:row r="160" ht="23" customHeight="1">
      <x:c r="A160" s="7" t="str">
        <x:v>221</x:v>
      </x:c>
      <x:c r="B160" s="7" t="str">
        <x:v>Ladds Circle and Squares</x:v>
      </x:c>
      <x:c r="C160" s="7" t="str">
        <x:v>plaza-memorial</x:v>
      </x:c>
      <x:c r="D160" s="7" t="str">
        <x:v>unverified</x:v>
      </x:c>
      <x:c r="E160" s="7" t="n">
        <x:v>0</x:v>
      </x:c>
      <x:c r="F160" s="7" t="n">
        <x:v>0</x:v>
      </x:c>
      <x:c r="G160" s="7" t="n">
        <x:v>0</x:v>
      </x:c>
      <x:c r="H160" s="7" t="str">
        <x:v>not_verified_at_property_level</x:v>
      </x:c>
      <x:c r="I160" s="7" t="str">
        <x:v>Not verified</x:v>
      </x:c>
      <x:c r="J160" s="7" t="str"/>
      <x:c r="K160" s="7" t="str"/>
    </x:row>
    <x:row r="161" ht="23" customHeight="1">
      <x:c r="A161" s="8" t="str">
        <x:v>222</x:v>
      </x:c>
      <x:c r="B161" s="8" t="str">
        <x:v>Lair Hill Park</x:v>
      </x:c>
      <x:c r="C161" s="8" t="str">
        <x:v>developed-park</x:v>
      </x:c>
      <x:c r="D161" s="8" t="str">
        <x:v>public</x:v>
      </x:c>
      <x:c r="E161" s="8" t="n">
        <x:v>0</x:v>
      </x:c>
      <x:c r="F161" s="8" t="n">
        <x:v>0</x:v>
      </x:c>
      <x:c r="G161" s="8" t="n">
        <x:v>0</x:v>
      </x:c>
      <x:c r="H161" s="8" t="str">
        <x:v>not_verified_at_property_level</x:v>
      </x:c>
      <x:c r="I161" s="8" t="str">
        <x:v>Not verified</x:v>
      </x:c>
      <x:c r="J161" s="8" t="str">
        <x:v>Park hours: 5:00am-midnight</x:v>
      </x:c>
      <x:c r="K161" s="8" t="str">
        <x:v>https://www.portland.gov/parks/lair-hill-park</x:v>
      </x:c>
    </x:row>
    <x:row r="162" ht="23" customHeight="1">
      <x:c r="A162" s="7" t="str">
        <x:v>8</x:v>
      </x:c>
      <x:c r="B162" s="7" t="str">
        <x:v>Lan Su Chinese Garden</x:v>
      </x:c>
      <x:c r="C162" s="7" t="str">
        <x:v>garden</x:v>
      </x:c>
      <x:c r="D162" s="7" t="str">
        <x:v>limited</x:v>
      </x:c>
      <x:c r="E162" s="7" t="n">
        <x:v>0</x:v>
      </x:c>
      <x:c r="F162" s="7" t="n">
        <x:v>0</x:v>
      </x:c>
      <x:c r="G162" s="7" t="n">
        <x:v>0</x:v>
      </x:c>
      <x:c r="H162" s="7" t="str">
        <x:v>not_verified_at_property_level</x:v>
      </x:c>
      <x:c r="I162" s="7" t="str">
        <x:v>Not verified</x:v>
      </x:c>
      <x:c r="J162" s="7" t="str">
        <x:v>Visit lansugarden.org for visitor information.</x:v>
      </x:c>
      <x:c r="K162" s="7" t="str">
        <x:v>https://www.portland.gov/parks/lan-su-chinese-garden</x:v>
      </x:c>
    </x:row>
    <x:row r="163" ht="23" customHeight="1">
      <x:c r="A163" s="8" t="str">
        <x:v>224</x:v>
      </x:c>
      <x:c r="B163" s="8" t="str">
        <x:v>Laurelhurst Park</x:v>
      </x:c>
      <x:c r="C163" s="8" t="str">
        <x:v>developed-park</x:v>
      </x:c>
      <x:c r="D163" s="8" t="str">
        <x:v>public</x:v>
      </x:c>
      <x:c r="E163" s="8" t="n">
        <x:v>0</x:v>
      </x:c>
      <x:c r="F163" s="8" t="n">
        <x:v>6</x:v>
      </x:c>
      <x:c r="G163" s="8" t="n">
        <x:v>6</x:v>
      </x:c>
      <x:c r="H163" s="8" t="str">
        <x:v>not_verified_at_property_level</x:v>
      </x:c>
      <x:c r="I163" s="8" t="str">
        <x:v>Not verified</x:v>
      </x:c>
      <x:c r="J163" s="8" t="str">
        <x:v>Park hours: 5:00am-10:30pm To reserve a picnic area, call 503-823-2525. Picnic Sites and Info</x:v>
      </x:c>
      <x:c r="K163" s="8" t="str">
        <x:v>https://www.portland.gov/parks/laurelhurst-park</x:v>
      </x:c>
    </x:row>
    <x:row r="164" ht="23" customHeight="1">
      <x:c r="A164" s="7" t="str">
        <x:v>225</x:v>
      </x:c>
      <x:c r="B164" s="7" t="str">
        <x:v>Laurelwood Park</x:v>
      </x:c>
      <x:c r="C164" s="7" t="str">
        <x:v>developed-park</x:v>
      </x:c>
      <x:c r="D164" s="7" t="str">
        <x:v>public</x:v>
      </x:c>
      <x:c r="E164" s="7" t="n">
        <x:v>0</x:v>
      </x:c>
      <x:c r="F164" s="7" t="n">
        <x:v>0</x:v>
      </x:c>
      <x:c r="G164" s="7" t="n">
        <x:v>0</x:v>
      </x:c>
      <x:c r="H164" s="7" t="str">
        <x:v>not_verified_at_property_level</x:v>
      </x:c>
      <x:c r="I164" s="7" t="str">
        <x:v>Not verified</x:v>
      </x:c>
      <x:c r="J164" s="7" t="str">
        <x:v>Park hours: 5:00am-midnight</x:v>
      </x:c>
      <x:c r="K164" s="7" t="str">
        <x:v>https://www.portland.gov/parks/laurelwood-park</x:v>
      </x:c>
    </x:row>
    <x:row r="165" ht="23" customHeight="1">
      <x:c r="A165" s="8" t="str">
        <x:v>226</x:v>
      </x:c>
      <x:c r="B165" s="8" t="str">
        <x:v>Leach Botanical Garden</x:v>
      </x:c>
      <x:c r="C165" s="8" t="str">
        <x:v>garden</x:v>
      </x:c>
      <x:c r="D165" s="8" t="str">
        <x:v>limited</x:v>
      </x:c>
      <x:c r="E165" s="8" t="n">
        <x:v>0</x:v>
      </x:c>
      <x:c r="F165" s="8" t="n">
        <x:v>0</x:v>
      </x:c>
      <x:c r="G165" s="8" t="n">
        <x:v>0</x:v>
      </x:c>
      <x:c r="H165" s="8" t="str">
        <x:v>not_verified_at_property_level</x:v>
      </x:c>
      <x:c r="I165" s="8" t="str">
        <x:v>Not verified</x:v>
      </x:c>
      <x:c r="J165" s="8" t="str">
        <x:v>Leach Botanical Garden hours change seasonally. For current hours, v isit the official Leach Botanical Garden website .</x:v>
      </x:c>
      <x:c r="K165" s="8" t="str">
        <x:v>https://www.portland.gov/parks/leach-botanical-garden</x:v>
      </x:c>
    </x:row>
    <x:row r="166" ht="23" customHeight="1">
      <x:c r="A166" s="7" t="str">
        <x:v>234</x:v>
      </x:c>
      <x:c r="B166" s="7" t="str">
        <x:v>Lents Park</x:v>
      </x:c>
      <x:c r="C166" s="7" t="str">
        <x:v>developed-park</x:v>
      </x:c>
      <x:c r="D166" s="7" t="str">
        <x:v>public</x:v>
      </x:c>
      <x:c r="E166" s="7" t="n">
        <x:v>0</x:v>
      </x:c>
      <x:c r="F166" s="7" t="n">
        <x:v>2</x:v>
      </x:c>
      <x:c r="G166" s="7" t="n">
        <x:v>2</x:v>
      </x:c>
      <x:c r="H166" s="7" t="str">
        <x:v>not_verified_at_property_level</x:v>
      </x:c>
      <x:c r="I166" s="7" t="str">
        <x:v>Not verified</x:v>
      </x:c>
      <x:c r="J166" s="7" t="str">
        <x:v>Park hours: 5am-midnight To reserve a sports field or picnic area, call 503-823-2525</x:v>
      </x:c>
      <x:c r="K166" s="7" t="str">
        <x:v>https://www.portland.gov/parks/lents-park</x:v>
      </x:c>
    </x:row>
    <x:row r="167" ht="23" customHeight="1">
      <x:c r="A167" s="8" t="str">
        <x:v>236</x:v>
      </x:c>
      <x:c r="B167" s="8" t="str">
        <x:v>Lesser Park</x:v>
      </x:c>
      <x:c r="C167" s="8" t="str">
        <x:v>natural-area</x:v>
      </x:c>
      <x:c r="D167" s="8" t="str">
        <x:v>public</x:v>
      </x:c>
      <x:c r="E167" s="8" t="n">
        <x:v>0</x:v>
      </x:c>
      <x:c r="F167" s="8" t="n">
        <x:v>0</x:v>
      </x:c>
      <x:c r="G167" s="8" t="n">
        <x:v>0</x:v>
      </x:c>
      <x:c r="H167" s="8" t="str">
        <x:v>not_verified_at_property_level</x:v>
      </x:c>
      <x:c r="I167" s="8" t="str">
        <x:v>Not verified</x:v>
      </x:c>
      <x:c r="J167" s="8" t="str">
        <x:v>Park hours: 5:00am-midnight</x:v>
      </x:c>
      <x:c r="K167" s="8" t="str">
        <x:v>https://www.portland.gov/parks/lesser-park</x:v>
      </x:c>
    </x:row>
    <x:row r="168" ht="23" customHeight="1">
      <x:c r="A168" s="7" t="str">
        <x:v>238</x:v>
      </x:c>
      <x:c r="B168" s="7" t="str">
        <x:v>Lillis-Albina Park</x:v>
      </x:c>
      <x:c r="C168" s="7" t="str">
        <x:v>developed-park</x:v>
      </x:c>
      <x:c r="D168" s="7" t="str">
        <x:v>public</x:v>
      </x:c>
      <x:c r="E168" s="7" t="n">
        <x:v>0</x:v>
      </x:c>
      <x:c r="F168" s="7" t="n">
        <x:v>0</x:v>
      </x:c>
      <x:c r="G168" s="7" t="n">
        <x:v>0</x:v>
      </x:c>
      <x:c r="H168" s="7" t="str">
        <x:v>not_verified_at_property_level</x:v>
      </x:c>
      <x:c r="I168" s="7" t="str">
        <x:v>Not verified</x:v>
      </x:c>
      <x:c r="J168" s="7" t="str">
        <x:v>Park hours: 5:00am-midnight To reserve a sports field, call 503-823-2525.</x:v>
      </x:c>
      <x:c r="K168" s="7" t="str">
        <x:v>https://www.portland.gov/parks/lillis-albina-park</x:v>
      </x:c>
    </x:row>
    <x:row r="169" ht="23" customHeight="1">
      <x:c r="A169" s="8" t="str">
        <x:v>239</x:v>
      </x:c>
      <x:c r="B169" s="8" t="str">
        <x:v>Lincoln Park</x:v>
      </x:c>
      <x:c r="C169" s="8" t="str">
        <x:v>developed-park</x:v>
      </x:c>
      <x:c r="D169" s="8" t="str">
        <x:v>public</x:v>
      </x:c>
      <x:c r="E169" s="8" t="n">
        <x:v>0</x:v>
      </x:c>
      <x:c r="F169" s="8" t="n">
        <x:v>0</x:v>
      </x:c>
      <x:c r="G169" s="8" t="n">
        <x:v>0</x:v>
      </x:c>
      <x:c r="H169" s="8" t="str">
        <x:v>not_verified_at_property_level</x:v>
      </x:c>
      <x:c r="I169" s="8" t="str">
        <x:v>Not verified</x:v>
      </x:c>
      <x:c r="J169" s="8" t="str">
        <x:v>Park hours: 5:00am-midnight</x:v>
      </x:c>
      <x:c r="K169" s="8" t="str">
        <x:v>https://www.portland.gov/parks/lincoln-park</x:v>
      </x:c>
    </x:row>
    <x:row r="170" ht="23" customHeight="1">
      <x:c r="A170" s="7" t="str">
        <x:v>849</x:v>
      </x:c>
      <x:c r="B170" s="7" t="str">
        <x:v>Loll Wildwood Natural Area</x:v>
      </x:c>
      <x:c r="C170" s="7" t="str">
        <x:v>natural-area</x:v>
      </x:c>
      <x:c r="D170" s="7" t="str">
        <x:v>unverified</x:v>
      </x:c>
      <x:c r="E170" s="7" t="n">
        <x:v>0</x:v>
      </x:c>
      <x:c r="F170" s="7" t="n">
        <x:v>0</x:v>
      </x:c>
      <x:c r="G170" s="7" t="n">
        <x:v>0</x:v>
      </x:c>
      <x:c r="H170" s="7" t="str">
        <x:v>not_verified_at_property_level</x:v>
      </x:c>
      <x:c r="I170" s="7" t="str">
        <x:v>Not verified</x:v>
      </x:c>
      <x:c r="J170" s="7" t="str"/>
      <x:c r="K170" s="7" t="str"/>
    </x:row>
    <x:row r="171" ht="23" customHeight="1">
      <x:c r="A171" s="8" t="str">
        <x:v>241</x:v>
      </x:c>
      <x:c r="B171" s="8" t="str">
        <x:v>Lotus Isle Park</x:v>
      </x:c>
      <x:c r="C171" s="8" t="str">
        <x:v>developed-park</x:v>
      </x:c>
      <x:c r="D171" s="8" t="str">
        <x:v>public</x:v>
      </x:c>
      <x:c r="E171" s="8" t="n">
        <x:v>0</x:v>
      </x:c>
      <x:c r="F171" s="8" t="n">
        <x:v>0</x:v>
      </x:c>
      <x:c r="G171" s="8" t="n">
        <x:v>0</x:v>
      </x:c>
      <x:c r="H171" s="8" t="str">
        <x:v>not_verified_at_property_level</x:v>
      </x:c>
      <x:c r="I171" s="8" t="str">
        <x:v>Not verified</x:v>
      </x:c>
      <x:c r="J171" s="8" t="str">
        <x:v>Park hours: 5:00am-midnight</x:v>
      </x:c>
      <x:c r="K171" s="8" t="str">
        <x:v>https://www.portland.gov/parks/lotus-isle-park</x:v>
      </x:c>
    </x:row>
    <x:row r="172" ht="23" customHeight="1">
      <x:c r="A172" s="7" t="str">
        <x:v>242</x:v>
      </x:c>
      <x:c r="B172" s="7" t="str">
        <x:v>Lovejoy Fountain</x:v>
      </x:c>
      <x:c r="C172" s="7" t="str">
        <x:v>plaza-memorial</x:v>
      </x:c>
      <x:c r="D172" s="7" t="str">
        <x:v>unverified</x:v>
      </x:c>
      <x:c r="E172" s="7" t="n">
        <x:v>0</x:v>
      </x:c>
      <x:c r="F172" s="7" t="n">
        <x:v>0</x:v>
      </x:c>
      <x:c r="G172" s="7" t="n">
        <x:v>0</x:v>
      </x:c>
      <x:c r="H172" s="7" t="str">
        <x:v>not_verified_at_property_level</x:v>
      </x:c>
      <x:c r="I172" s="7" t="str">
        <x:v>Not verified</x:v>
      </x:c>
      <x:c r="J172" s="7" t="str"/>
      <x:c r="K172" s="7" t="str"/>
    </x:row>
    <x:row r="173" ht="23" customHeight="1">
      <x:c r="A173" s="8" t="str">
        <x:v>56</x:v>
      </x:c>
      <x:c r="B173" s="8" t="str">
        <x:v>Luuwit View Park</x:v>
      </x:c>
      <x:c r="C173" s="8" t="str">
        <x:v>developed-park</x:v>
      </x:c>
      <x:c r="D173" s="8" t="str">
        <x:v>public</x:v>
      </x:c>
      <x:c r="E173" s="8" t="n">
        <x:v>0</x:v>
      </x:c>
      <x:c r="F173" s="8" t="n">
        <x:v>2</x:v>
      </x:c>
      <x:c r="G173" s="8" t="n">
        <x:v>2</x:v>
      </x:c>
      <x:c r="H173" s="8" t="str">
        <x:v>not_verified_at_property_level</x:v>
      </x:c>
      <x:c r="I173" s="8" t="str">
        <x:v>Not verified</x:v>
      </x:c>
      <x:c r="J173" s="8" t="str">
        <x:v>Park hours: 5am to midnight</x:v>
      </x:c>
      <x:c r="K173" s="8" t="str">
        <x:v>https://www.portland.gov/parks/luuwit-view-park</x:v>
      </x:c>
    </x:row>
    <x:row r="174" ht="23" customHeight="1">
      <x:c r="A174" s="7" t="str">
        <x:v>245</x:v>
      </x:c>
      <x:c r="B174" s="7" t="str">
        <x:v>Lynchwood Park</x:v>
      </x:c>
      <x:c r="C174" s="7" t="str">
        <x:v>developed-park</x:v>
      </x:c>
      <x:c r="D174" s="7" t="str">
        <x:v>public</x:v>
      </x:c>
      <x:c r="E174" s="7" t="n">
        <x:v>0</x:v>
      </x:c>
      <x:c r="F174" s="7" t="n">
        <x:v>0</x:v>
      </x:c>
      <x:c r="G174" s="7" t="n">
        <x:v>0</x:v>
      </x:c>
      <x:c r="H174" s="7" t="str">
        <x:v>not_verified_at_property_level</x:v>
      </x:c>
      <x:c r="I174" s="7" t="str">
        <x:v>Not verified</x:v>
      </x:c>
      <x:c r="J174" s="7" t="str">
        <x:v>5:00 am to midnight</x:v>
      </x:c>
      <x:c r="K174" s="7" t="str">
        <x:v>https://www.portland.gov/parks/lynchwood-park</x:v>
      </x:c>
    </x:row>
    <x:row r="175" ht="23" customHeight="1">
      <x:c r="A175" s="8" t="str">
        <x:v>247</x:v>
      </x:c>
      <x:c r="B175" s="8" t="str">
        <x:v>Madrona Park</x:v>
      </x:c>
      <x:c r="C175" s="8" t="str">
        <x:v>natural-area</x:v>
      </x:c>
      <x:c r="D175" s="8" t="str">
        <x:v>public</x:v>
      </x:c>
      <x:c r="E175" s="8" t="n">
        <x:v>0</x:v>
      </x:c>
      <x:c r="F175" s="8" t="n">
        <x:v>0</x:v>
      </x:c>
      <x:c r="G175" s="8" t="n">
        <x:v>0</x:v>
      </x:c>
      <x:c r="H175" s="8" t="str">
        <x:v>not_verified_at_property_level</x:v>
      </x:c>
      <x:c r="I175" s="8" t="str">
        <x:v>Not verified</x:v>
      </x:c>
      <x:c r="J175" s="8" t="str">
        <x:v>Park hours: 5:00am-midnight</x:v>
      </x:c>
      <x:c r="K175" s="8" t="str">
        <x:v>https://www.portland.gov/parks/madrona-park</x:v>
      </x:c>
    </x:row>
    <x:row r="176" ht="23" customHeight="1">
      <x:c r="A176" s="7" t="str">
        <x:v>450</x:v>
      </x:c>
      <x:c r="B176" s="7" t="str">
        <x:v>Maint Facility - 21st and Pacific</x:v>
      </x:c>
      <x:c r="C176" s="7" t="str">
        <x:v>maintenance-yard</x:v>
      </x:c>
      <x:c r="D176" s="7" t="str">
        <x:v>restricted</x:v>
      </x:c>
      <x:c r="E176" s="7" t="n">
        <x:v>0</x:v>
      </x:c>
      <x:c r="F176" s="7" t="n">
        <x:v>0</x:v>
      </x:c>
      <x:c r="G176" s="7" t="n">
        <x:v>0</x:v>
      </x:c>
      <x:c r="H176" s="7" t="str">
        <x:v>not_verified_at_property_level</x:v>
      </x:c>
      <x:c r="I176" s="7" t="str">
        <x:v>Not verified</x:v>
      </x:c>
      <x:c r="J176" s="7" t="str"/>
      <x:c r="K176" s="7" t="str"/>
    </x:row>
    <x:row r="177" ht="23" customHeight="1">
      <x:c r="A177" s="8" t="str">
        <x:v>1388</x:v>
      </x:c>
      <x:c r="B177" s="8" t="str">
        <x:v>Maint Facility - 89th and Flavel</x:v>
      </x:c>
      <x:c r="C177" s="8" t="str">
        <x:v>maintenance-yard</x:v>
      </x:c>
      <x:c r="D177" s="8" t="str">
        <x:v>restricted</x:v>
      </x:c>
      <x:c r="E177" s="8" t="n">
        <x:v>0</x:v>
      </x:c>
      <x:c r="F177" s="8" t="n">
        <x:v>0</x:v>
      </x:c>
      <x:c r="G177" s="8" t="n">
        <x:v>0</x:v>
      </x:c>
      <x:c r="H177" s="8" t="str">
        <x:v>not_verified_at_property_level</x:v>
      </x:c>
      <x:c r="I177" s="8" t="str">
        <x:v>Not verified</x:v>
      </x:c>
      <x:c r="J177" s="8" t="str"/>
      <x:c r="K177" s="8" t="str"/>
    </x:row>
    <x:row r="178" ht="23" customHeight="1">
      <x:c r="A178" s="7" t="str">
        <x:v>277</x:v>
      </x:c>
      <x:c r="B178" s="7" t="str">
        <x:v>Maint Facility - Mt Tabor Yard</x:v>
      </x:c>
      <x:c r="C178" s="7" t="str">
        <x:v>maintenance-yard</x:v>
      </x:c>
      <x:c r="D178" s="7" t="str">
        <x:v>restricted</x:v>
      </x:c>
      <x:c r="E178" s="7" t="n">
        <x:v>0</x:v>
      </x:c>
      <x:c r="F178" s="7" t="n">
        <x:v>0</x:v>
      </x:c>
      <x:c r="G178" s="7" t="n">
        <x:v>0</x:v>
      </x:c>
      <x:c r="H178" s="7" t="str">
        <x:v>not_verified_at_property_level</x:v>
      </x:c>
      <x:c r="I178" s="7" t="str">
        <x:v>Not verified</x:v>
      </x:c>
      <x:c r="J178" s="7" t="str"/>
      <x:c r="K178" s="7" t="str"/>
    </x:row>
    <x:row r="179" ht="23" customHeight="1">
      <x:c r="A179" s="8" t="str">
        <x:v>675</x:v>
      </x:c>
      <x:c r="B179" s="8" t="str">
        <x:v>Maint Facility - SE 136th and Holgate</x:v>
      </x:c>
      <x:c r="C179" s="8" t="str">
        <x:v>maintenance-yard</x:v>
      </x:c>
      <x:c r="D179" s="8" t="str">
        <x:v>restricted</x:v>
      </x:c>
      <x:c r="E179" s="8" t="n">
        <x:v>0</x:v>
      </x:c>
      <x:c r="F179" s="8" t="n">
        <x:v>0</x:v>
      </x:c>
      <x:c r="G179" s="8" t="n">
        <x:v>0</x:v>
      </x:c>
      <x:c r="H179" s="8" t="str">
        <x:v>not_verified_at_property_level</x:v>
      </x:c>
      <x:c r="I179" s="8" t="str">
        <x:v>Not verified</x:v>
      </x:c>
      <x:c r="J179" s="8" t="str"/>
      <x:c r="K179" s="8" t="str"/>
    </x:row>
    <x:row r="180" ht="23" customHeight="1">
      <x:c r="A180" s="7" t="str">
        <x:v>248</x:v>
      </x:c>
      <x:c r="B180" s="7" t="str">
        <x:v>Mallory Meadows Park</x:v>
      </x:c>
      <x:c r="C180" s="7" t="str">
        <x:v>developed-park</x:v>
      </x:c>
      <x:c r="D180" s="7" t="str">
        <x:v>public</x:v>
      </x:c>
      <x:c r="E180" s="7" t="n">
        <x:v>0</x:v>
      </x:c>
      <x:c r="F180" s="7" t="n">
        <x:v>0</x:v>
      </x:c>
      <x:c r="G180" s="7" t="n">
        <x:v>0</x:v>
      </x:c>
      <x:c r="H180" s="7" t="str">
        <x:v>not_verified_at_property_level</x:v>
      </x:c>
      <x:c r="I180" s="7" t="str">
        <x:v>Not verified</x:v>
      </x:c>
      <x:c r="J180" s="7" t="str">
        <x:v>Park hours: 5:00am-midnight</x:v>
      </x:c>
      <x:c r="K180" s="7" t="str">
        <x:v>https://www.portland.gov/parks/mallory-meadows-park</x:v>
      </x:c>
    </x:row>
    <x:row r="181" ht="23" customHeight="1">
      <x:c r="A181" s="8" t="str">
        <x:v>249</x:v>
      </x:c>
      <x:c r="B181" s="8" t="str">
        <x:v>Maricara Natural Area</x:v>
      </x:c>
      <x:c r="C181" s="8" t="str">
        <x:v>natural-area</x:v>
      </x:c>
      <x:c r="D181" s="8" t="str">
        <x:v>unverified</x:v>
      </x:c>
      <x:c r="E181" s="8" t="n">
        <x:v>0</x:v>
      </x:c>
      <x:c r="F181" s="8" t="n">
        <x:v>0</x:v>
      </x:c>
      <x:c r="G181" s="8" t="n">
        <x:v>0</x:v>
      </x:c>
      <x:c r="H181" s="8" t="str">
        <x:v>not_verified_at_property_level</x:v>
      </x:c>
      <x:c r="I181" s="8" t="str">
        <x:v>Not verified</x:v>
      </x:c>
      <x:c r="J181" s="8" t="str"/>
      <x:c r="K181" s="8" t="str"/>
    </x:row>
    <x:row r="182" ht="23" customHeight="1">
      <x:c r="A182" s="7" t="str">
        <x:v>1405</x:v>
      </x:c>
      <x:c r="B182" s="7" t="str">
        <x:v>Marine Drive Trail</x:v>
      </x:c>
      <x:c r="C182" s="7" t="str">
        <x:v>corridor</x:v>
      </x:c>
      <x:c r="D182" s="7" t="str">
        <x:v>unverified</x:v>
      </x:c>
      <x:c r="E182" s="7" t="n">
        <x:v>0</x:v>
      </x:c>
      <x:c r="F182" s="7" t="n">
        <x:v>0</x:v>
      </x:c>
      <x:c r="G182" s="7" t="n">
        <x:v>0</x:v>
      </x:c>
      <x:c r="H182" s="7" t="str">
        <x:v>not_verified_at_property_level</x:v>
      </x:c>
      <x:c r="I182" s="7" t="str">
        <x:v>Not verified</x:v>
      </x:c>
      <x:c r="J182" s="7" t="str"/>
      <x:c r="K182" s="7" t="str"/>
    </x:row>
    <x:row r="183" ht="23" customHeight="1">
      <x:c r="A183" s="8" t="str">
        <x:v>251</x:v>
      </x:c>
      <x:c r="B183" s="8" t="str">
        <x:v>Marquam Nature Park</x:v>
      </x:c>
      <x:c r="C183" s="8" t="str">
        <x:v>natural-area</x:v>
      </x:c>
      <x:c r="D183" s="8" t="str">
        <x:v>public</x:v>
      </x:c>
      <x:c r="E183" s="8" t="n">
        <x:v>0</x:v>
      </x:c>
      <x:c r="F183" s="8" t="n">
        <x:v>1</x:v>
      </x:c>
      <x:c r="G183" s="8" t="n">
        <x:v>0</x:v>
      </x:c>
      <x:c r="H183" s="8" t="str">
        <x:v>not_verified_at_property_level</x:v>
      </x:c>
      <x:c r="I183" s="8" t="str">
        <x:v>Not verified</x:v>
      </x:c>
      <x:c r="J183" s="8" t="str">
        <x:v>Park hours: 5:00am-midnight</x:v>
      </x:c>
      <x:c r="K183" s="8" t="str">
        <x:v>https://www.portland.gov/parks/marquam-nature-park</x:v>
      </x:c>
    </x:row>
    <x:row r="184" ht="23" customHeight="1">
      <x:c r="A184" s="7" t="str">
        <x:v>1500</x:v>
      </x:c>
      <x:c r="B184" s="7" t="str">
        <x:v>Marquam Trail</x:v>
      </x:c>
      <x:c r="C184" s="7" t="str">
        <x:v>corridor</x:v>
      </x:c>
      <x:c r="D184" s="7" t="str">
        <x:v>unverified</x:v>
      </x:c>
      <x:c r="E184" s="7" t="n">
        <x:v>0</x:v>
      </x:c>
      <x:c r="F184" s="7" t="n">
        <x:v>0</x:v>
      </x:c>
      <x:c r="G184" s="7" t="n">
        <x:v>0</x:v>
      </x:c>
      <x:c r="H184" s="7" t="str">
        <x:v>not_verified_at_property_level</x:v>
      </x:c>
      <x:c r="I184" s="7" t="str">
        <x:v>Not verified</x:v>
      </x:c>
      <x:c r="J184" s="7" t="str"/>
      <x:c r="K184" s="7" t="str"/>
    </x:row>
    <x:row r="185" ht="23" customHeight="1">
      <x:c r="A185" s="8" t="str">
        <x:v>252</x:v>
      </x:c>
      <x:c r="B185" s="8" t="str">
        <x:v>Marshall Park</x:v>
      </x:c>
      <x:c r="C185" s="8" t="str">
        <x:v>natural-area</x:v>
      </x:c>
      <x:c r="D185" s="8" t="str">
        <x:v>public</x:v>
      </x:c>
      <x:c r="E185" s="8" t="n">
        <x:v>0</x:v>
      </x:c>
      <x:c r="F185" s="8" t="n">
        <x:v>0</x:v>
      </x:c>
      <x:c r="G185" s="8" t="n">
        <x:v>0</x:v>
      </x:c>
      <x:c r="H185" s="8" t="str">
        <x:v>not_verified_at_property_level</x:v>
      </x:c>
      <x:c r="I185" s="8" t="str">
        <x:v>Not verified</x:v>
      </x:c>
      <x:c r="J185" s="8" t="str">
        <x:v>Park hours: 5:00am-10:00pm</x:v>
      </x:c>
      <x:c r="K185" s="8" t="str">
        <x:v>https://www.portland.gov/parks/marshall-park</x:v>
      </x:c>
    </x:row>
    <x:row r="186" ht="23" customHeight="1">
      <x:c r="A186" s="7" t="str">
        <x:v>1117</x:v>
      </x:c>
      <x:c r="B186" s="7" t="str">
        <x:v>Matt Dishman Community Center and Pool</x:v>
      </x:c>
      <x:c r="C186" s="7" t="str">
        <x:v>facility-site</x:v>
      </x:c>
      <x:c r="D186" s="7" t="str">
        <x:v>unverified</x:v>
      </x:c>
      <x:c r="E186" s="7" t="n">
        <x:v>95</x:v>
      </x:c>
      <x:c r="F186" s="7" t="n">
        <x:v>0</x:v>
      </x:c>
      <x:c r="G186" s="7" t="n">
        <x:v>0</x:v>
      </x:c>
      <x:c r="H186" s="7" t="str">
        <x:v>not_verified_at_property_level</x:v>
      </x:c>
      <x:c r="I186" s="7" t="str">
        <x:v>Not verified</x:v>
      </x:c>
      <x:c r="J186" s="7" t="str"/>
      <x:c r="K186" s="7" t="str"/>
    </x:row>
    <x:row r="187" ht="23" customHeight="1">
      <x:c r="A187" s="8" t="str">
        <x:v>1258</x:v>
      </x:c>
      <x:c r="B187" s="8" t="str">
        <x:v>McCoy Park</x:v>
      </x:c>
      <x:c r="C187" s="8" t="str">
        <x:v>developed-park</x:v>
      </x:c>
      <x:c r="D187" s="8" t="str">
        <x:v>public</x:v>
      </x:c>
      <x:c r="E187" s="8" t="n">
        <x:v>0</x:v>
      </x:c>
      <x:c r="F187" s="8" t="n">
        <x:v>1</x:v>
      </x:c>
      <x:c r="G187" s="8" t="n">
        <x:v>1</x:v>
      </x:c>
      <x:c r="H187" s="8" t="str">
        <x:v>not_verified_at_property_level</x:v>
      </x:c>
      <x:c r="I187" s="8" t="str">
        <x:v>Not verified</x:v>
      </x:c>
      <x:c r="J187" s="8" t="str">
        <x:v>Park hours: 5am to 10pm</x:v>
      </x:c>
      <x:c r="K187" s="8" t="str">
        <x:v>https://www.portland.gov/parks/mccoy-park</x:v>
      </x:c>
    </x:row>
    <x:row r="188" ht="23" customHeight="1">
      <x:c r="A188" s="7" t="str">
        <x:v>259</x:v>
      </x:c>
      <x:c r="B188" s="7" t="str">
        <x:v>McKenna Park</x:v>
      </x:c>
      <x:c r="C188" s="7" t="str">
        <x:v>developed-park</x:v>
      </x:c>
      <x:c r="D188" s="7" t="str">
        <x:v>public</x:v>
      </x:c>
      <x:c r="E188" s="7" t="n">
        <x:v>0</x:v>
      </x:c>
      <x:c r="F188" s="7" t="n">
        <x:v>0</x:v>
      </x:c>
      <x:c r="G188" s="7" t="n">
        <x:v>0</x:v>
      </x:c>
      <x:c r="H188" s="7" t="str">
        <x:v>not_verified_at_property_level</x:v>
      </x:c>
      <x:c r="I188" s="7" t="str">
        <x:v>Not verified</x:v>
      </x:c>
      <x:c r="J188" s="7" t="str">
        <x:v>Park hours: 5:00am-midnight To reserve a sports field, call 503-823-2525.</x:v>
      </x:c>
      <x:c r="K188" s="7" t="str">
        <x:v>https://www.portland.gov/parks/mckenna-park</x:v>
      </x:c>
    </x:row>
    <x:row r="189" ht="23" customHeight="1">
      <x:c r="A189" s="8" t="str">
        <x:v>261</x:v>
      </x:c>
      <x:c r="B189" s="8" t="str">
        <x:v>Merrifield Park</x:v>
      </x:c>
      <x:c r="C189" s="8" t="str">
        <x:v>developed-park</x:v>
      </x:c>
      <x:c r="D189" s="8" t="str">
        <x:v>public</x:v>
      </x:c>
      <x:c r="E189" s="8" t="n">
        <x:v>0</x:v>
      </x:c>
      <x:c r="F189" s="8" t="n">
        <x:v>0</x:v>
      </x:c>
      <x:c r="G189" s="8" t="n">
        <x:v>0</x:v>
      </x:c>
      <x:c r="H189" s="8" t="str">
        <x:v>not_verified_at_property_level</x:v>
      </x:c>
      <x:c r="I189" s="8" t="str">
        <x:v>Not verified</x:v>
      </x:c>
      <x:c r="J189" s="8" t="str">
        <x:v>Park hours: 5am to midnight</x:v>
      </x:c>
      <x:c r="K189" s="8" t="str">
        <x:v>https://www.portland.gov/parks/merrifield-park</x:v>
      </x:c>
    </x:row>
    <x:row r="190" ht="23" customHeight="1">
      <x:c r="A190" s="7" t="str">
        <x:v>264</x:v>
      </x:c>
      <x:c r="B190" s="7" t="str">
        <x:v>Midland Park</x:v>
      </x:c>
      <x:c r="C190" s="7" t="str">
        <x:v>natural-area</x:v>
      </x:c>
      <x:c r="D190" s="7" t="str">
        <x:v>public</x:v>
      </x:c>
      <x:c r="E190" s="7" t="n">
        <x:v>0</x:v>
      </x:c>
      <x:c r="F190" s="7" t="n">
        <x:v>0</x:v>
      </x:c>
      <x:c r="G190" s="7" t="n">
        <x:v>0</x:v>
      </x:c>
      <x:c r="H190" s="7" t="str">
        <x:v>not_verified_at_property_level</x:v>
      </x:c>
      <x:c r="I190" s="7" t="str">
        <x:v>Not verified</x:v>
      </x:c>
      <x:c r="J190" s="7" t="str">
        <x:v>Park hours: 5:00am-midnight</x:v>
      </x:c>
      <x:c r="K190" s="7" t="str">
        <x:v>https://www.portland.gov/parks/midland-park</x:v>
      </x:c>
    </x:row>
    <x:row r="191" ht="23" customHeight="1">
      <x:c r="A191" s="8" t="str">
        <x:v>265</x:v>
      </x:c>
      <x:c r="B191" s="8" t="str">
        <x:v>Mill Ends Park</x:v>
      </x:c>
      <x:c r="C191" s="8" t="str">
        <x:v>plaza-memorial</x:v>
      </x:c>
      <x:c r="D191" s="8" t="str">
        <x:v>unverified</x:v>
      </x:c>
      <x:c r="E191" s="8" t="n">
        <x:v>0</x:v>
      </x:c>
      <x:c r="F191" s="8" t="n">
        <x:v>0</x:v>
      </x:c>
      <x:c r="G191" s="8" t="n">
        <x:v>0</x:v>
      </x:c>
      <x:c r="H191" s="8" t="str">
        <x:v>not_verified_at_property_level</x:v>
      </x:c>
      <x:c r="I191" s="8" t="str">
        <x:v>Not verified</x:v>
      </x:c>
      <x:c r="J191" s="8" t="str"/>
      <x:c r="K191" s="8" t="str">
        <x:v>https://www.portland.gov/parks/mill-ends-park</x:v>
      </x:c>
    </x:row>
    <x:row r="192" ht="23" customHeight="1">
      <x:c r="A192" s="7" t="str">
        <x:v>266</x:v>
      </x:c>
      <x:c r="B192" s="7" t="str">
        <x:v>Mill Park</x:v>
      </x:c>
      <x:c r="C192" s="7" t="str">
        <x:v>developed-park</x:v>
      </x:c>
      <x:c r="D192" s="7" t="str">
        <x:v>public</x:v>
      </x:c>
      <x:c r="E192" s="7" t="n">
        <x:v>0</x:v>
      </x:c>
      <x:c r="F192" s="7" t="n">
        <x:v>0</x:v>
      </x:c>
      <x:c r="G192" s="7" t="n">
        <x:v>0</x:v>
      </x:c>
      <x:c r="H192" s="7" t="str">
        <x:v>not_verified_at_property_level</x:v>
      </x:c>
      <x:c r="I192" s="7" t="str">
        <x:v>Not verified</x:v>
      </x:c>
      <x:c r="J192" s="7" t="str">
        <x:v>Park hours: 5am to midnight</x:v>
      </x:c>
      <x:c r="K192" s="7" t="str">
        <x:v>https://www.portland.gov/parks/mill-park</x:v>
      </x:c>
    </x:row>
    <x:row r="193" ht="23" customHeight="1">
      <x:c r="A193" s="8" t="str">
        <x:v>1055</x:v>
      </x:c>
      <x:c r="B193" s="8" t="str">
        <x:v>Mitchell Creek Natural Area</x:v>
      </x:c>
      <x:c r="C193" s="8" t="str">
        <x:v>natural-area</x:v>
      </x:c>
      <x:c r="D193" s="8" t="str">
        <x:v>unverified</x:v>
      </x:c>
      <x:c r="E193" s="8" t="n">
        <x:v>0</x:v>
      </x:c>
      <x:c r="F193" s="8" t="n">
        <x:v>0</x:v>
      </x:c>
      <x:c r="G193" s="8" t="n">
        <x:v>0</x:v>
      </x:c>
      <x:c r="H193" s="8" t="str">
        <x:v>not_verified_at_property_level</x:v>
      </x:c>
      <x:c r="I193" s="8" t="str">
        <x:v>Not verified</x:v>
      </x:c>
      <x:c r="J193" s="8" t="str"/>
      <x:c r="K193" s="8" t="str"/>
    </x:row>
    <x:row r="194" ht="23" customHeight="1">
      <x:c r="A194" s="7" t="str">
        <x:v>906</x:v>
      </x:c>
      <x:c r="B194" s="7" t="str">
        <x:v>Mocks Crest Property</x:v>
      </x:c>
      <x:c r="C194" s="7" t="str">
        <x:v>natural-area</x:v>
      </x:c>
      <x:c r="D194" s="7" t="str">
        <x:v>unverified</x:v>
      </x:c>
      <x:c r="E194" s="7" t="n">
        <x:v>0</x:v>
      </x:c>
      <x:c r="F194" s="7" t="n">
        <x:v>0</x:v>
      </x:c>
      <x:c r="G194" s="7" t="n">
        <x:v>0</x:v>
      </x:c>
      <x:c r="H194" s="7" t="str">
        <x:v>not_verified_at_property_level</x:v>
      </x:c>
      <x:c r="I194" s="7" t="str">
        <x:v>Not verified</x:v>
      </x:c>
      <x:c r="J194" s="7" t="str"/>
      <x:c r="K194" s="7" t="str"/>
    </x:row>
    <x:row r="195" ht="23" customHeight="1">
      <x:c r="A195" s="8" t="str">
        <x:v>268</x:v>
      </x:c>
      <x:c r="B195" s="8" t="str">
        <x:v>Montavilla Park</x:v>
      </x:c>
      <x:c r="C195" s="8" t="str">
        <x:v>developed-park</x:v>
      </x:c>
      <x:c r="D195" s="8" t="str">
        <x:v>public</x:v>
      </x:c>
      <x:c r="E195" s="8" t="n">
        <x:v>35</x:v>
      </x:c>
      <x:c r="F195" s="8" t="n">
        <x:v>0</x:v>
      </x:c>
      <x:c r="G195" s="8" t="n">
        <x:v>0</x:v>
      </x:c>
      <x:c r="H195" s="8" t="str">
        <x:v>not_verified_at_property_level</x:v>
      </x:c>
      <x:c r="I195" s="8" t="str">
        <x:v>Not verified</x:v>
      </x:c>
      <x:c r="J195" s="8" t="str">
        <x:v>Park hours: 5am to midnight To reserve a sports field or picnic area, call 503-823-2525</x:v>
      </x:c>
      <x:c r="K195" s="8" t="str">
        <x:v>https://www.portland.gov/parks/montavilla-park</x:v>
      </x:c>
    </x:row>
    <x:row r="196" ht="23" customHeight="1">
      <x:c r="A196" s="7" t="str">
        <x:v>907</x:v>
      </x:c>
      <x:c r="B196" s="7" t="str">
        <x:v>Moore Island</x:v>
      </x:c>
      <x:c r="C196" s="7" t="str">
        <x:v>natural-area</x:v>
      </x:c>
      <x:c r="D196" s="7" t="str">
        <x:v>unverified</x:v>
      </x:c>
      <x:c r="E196" s="7" t="n">
        <x:v>0</x:v>
      </x:c>
      <x:c r="F196" s="7" t="n">
        <x:v>0</x:v>
      </x:c>
      <x:c r="G196" s="7" t="n">
        <x:v>0</x:v>
      </x:c>
      <x:c r="H196" s="7" t="str">
        <x:v>not_verified_at_property_level</x:v>
      </x:c>
      <x:c r="I196" s="7" t="str">
        <x:v>Not verified</x:v>
      </x:c>
      <x:c r="J196" s="7" t="str"/>
      <x:c r="K196" s="7" t="str"/>
    </x:row>
    <x:row r="197" ht="23" customHeight="1">
      <x:c r="A197" s="8" t="str">
        <x:v>271</x:v>
      </x:c>
      <x:c r="B197" s="8" t="str">
        <x:v>Mt Scott Park</x:v>
      </x:c>
      <x:c r="C197" s="8" t="str">
        <x:v>developed-park</x:v>
      </x:c>
      <x:c r="D197" s="8" t="str">
        <x:v>public</x:v>
      </x:c>
      <x:c r="E197" s="8" t="n">
        <x:v>212</x:v>
      </x:c>
      <x:c r="F197" s="8" t="n">
        <x:v>5</x:v>
      </x:c>
      <x:c r="G197" s="8" t="n">
        <x:v>5</x:v>
      </x:c>
      <x:c r="H197" s="8" t="str">
        <x:v>not_verified_at_property_level</x:v>
      </x:c>
      <x:c r="I197" s="8" t="str">
        <x:v>Not verified</x:v>
      </x:c>
      <x:c r="J197" s="8" t="str">
        <x:v>Park hours: 5am to midnight</x:v>
      </x:c>
      <x:c r="K197" s="8" t="str">
        <x:v>https://www.portland.gov/parks/mt-scott-park</x:v>
      </x:c>
    </x:row>
    <x:row r="198" ht="23" customHeight="1">
      <x:c r="A198" s="7" t="str">
        <x:v>275</x:v>
      </x:c>
      <x:c r="B198" s="7" t="str">
        <x:v>Mt Tabor Park</x:v>
      </x:c>
      <x:c r="C198" s="7" t="str">
        <x:v>developed-park</x:v>
      </x:c>
      <x:c r="D198" s="7" t="str">
        <x:v>public</x:v>
      </x:c>
      <x:c r="E198" s="7" t="n">
        <x:v>0</x:v>
      </x:c>
      <x:c r="F198" s="7" t="n">
        <x:v>1</x:v>
      </x:c>
      <x:c r="G198" s="7" t="n">
        <x:v>1</x:v>
      </x:c>
      <x:c r="H198" s="7" t="str">
        <x:v>not_verified_at_property_level</x:v>
      </x:c>
      <x:c r="I198" s="7" t="str">
        <x:v>Not verified</x:v>
      </x:c>
      <x:c r="J198" s="7" t="str">
        <x:v>Park Hours: 5am to 11:59pm Vehicle Access Hours: 5am to 10pm The park is closed to motor vehicles all day Wednesday, and from 10pm to 5am all other days. The road gates at Salmon, Lincoln/Harrison, and Yamhill Streets will be closed during those times. Pets not allowed within Mt. Tabor Amphitheater on days of concerts.</x:v>
      </x:c>
      <x:c r="K198" s="7" t="str">
        <x:v>https://www.portland.gov/parks/mt-tabor-park</x:v>
      </x:c>
    </x:row>
    <x:row r="199" ht="23" customHeight="1">
      <x:c r="A199" s="8" t="str">
        <x:v>292</x:v>
      </x:c>
      <x:c r="B199" s="8" t="str">
        <x:v>Multnomah Arts Center</x:v>
      </x:c>
      <x:c r="C199" s="8" t="str">
        <x:v>facility-site</x:v>
      </x:c>
      <x:c r="D199" s="8" t="str">
        <x:v>limited</x:v>
      </x:c>
      <x:c r="E199" s="8" t="n">
        <x:v>252</x:v>
      </x:c>
      <x:c r="F199" s="8" t="n">
        <x:v>0</x:v>
      </x:c>
      <x:c r="G199" s="8" t="n">
        <x:v>0</x:v>
      </x:c>
      <x:c r="H199" s="8" t="str">
        <x:v>not_verified_at_property_level</x:v>
      </x:c>
      <x:c r="I199" s="8" t="str">
        <x:v>Not verified</x:v>
      </x:c>
      <x:c r="J199" s="8" t="str">
        <x:v>Monday through Thursday: 9am to 9:30pm Friday through Saturday: 9am to 5pm Sunday: Closed Building Closures: New Years Day (January 1) MLK Jr. Day (3rd Monday in January) Presidents Day (3rd Monday in February) Memorial Day (Last Monday in May) Juneteenth (June 19) Independence Day (July 4) Labor Day (First Monday in September) Veterans Day (November 11) Thanksgiving (Last Thursday in November) Christmas (December 25)</x:v>
      </x:c>
      <x:c r="K199" s="8" t="str">
        <x:v>https://www.portland.gov/parks/multnomah-arts-center</x:v>
      </x:c>
    </x:row>
    <x:row r="200" ht="23" customHeight="1">
      <x:c r="A200" s="7" t="str">
        <x:v>294</x:v>
      </x:c>
      <x:c r="B200" s="7" t="str">
        <x:v>Munger Property</x:v>
      </x:c>
      <x:c r="C200" s="7" t="str">
        <x:v>natural-area</x:v>
      </x:c>
      <x:c r="D200" s="7" t="str">
        <x:v>unverified</x:v>
      </x:c>
      <x:c r="E200" s="7" t="n">
        <x:v>0</x:v>
      </x:c>
      <x:c r="F200" s="7" t="n">
        <x:v>0</x:v>
      </x:c>
      <x:c r="G200" s="7" t="n">
        <x:v>0</x:v>
      </x:c>
      <x:c r="H200" s="7" t="str">
        <x:v>not_verified_at_property_level</x:v>
      </x:c>
      <x:c r="I200" s="7" t="str">
        <x:v>Not verified</x:v>
      </x:c>
      <x:c r="J200" s="7" t="str"/>
      <x:c r="K200" s="7" t="str"/>
    </x:row>
    <x:row r="201" ht="23" customHeight="1">
      <x:c r="A201" s="8" t="str">
        <x:v>1487</x:v>
      </x:c>
      <x:c r="B201" s="8" t="str">
        <x:v>N Crawford St and N Polk Ave Property</x:v>
      </x:c>
      <x:c r="C201" s="8" t="str">
        <x:v>natural-area</x:v>
      </x:c>
      <x:c r="D201" s="8" t="str">
        <x:v>unverified</x:v>
      </x:c>
      <x:c r="E201" s="8" t="n">
        <x:v>0</x:v>
      </x:c>
      <x:c r="F201" s="8" t="n">
        <x:v>0</x:v>
      </x:c>
      <x:c r="G201" s="8" t="n">
        <x:v>0</x:v>
      </x:c>
      <x:c r="H201" s="8" t="str">
        <x:v>not_verified_at_property_level</x:v>
      </x:c>
      <x:c r="I201" s="8" t="str">
        <x:v>Not verified</x:v>
      </x:c>
      <x:c r="J201" s="8" t="str"/>
      <x:c r="K201" s="8" t="str"/>
    </x:row>
    <x:row r="202" ht="23" customHeight="1">
      <x:c r="A202" s="7" t="str">
        <x:v>341</x:v>
      </x:c>
      <x:c r="B202" s="7" t="str">
        <x:v>N Swan Island Boat Ramp</x:v>
      </x:c>
      <x:c r="C202" s="7" t="str">
        <x:v>natural-area</x:v>
      </x:c>
      <x:c r="D202" s="7" t="str">
        <x:v>unverified</x:v>
      </x:c>
      <x:c r="E202" s="7" t="n">
        <x:v>0</x:v>
      </x:c>
      <x:c r="F202" s="7" t="n">
        <x:v>0</x:v>
      </x:c>
      <x:c r="G202" s="7" t="n">
        <x:v>0</x:v>
      </x:c>
      <x:c r="H202" s="7" t="str">
        <x:v>not_verified_at_property_level</x:v>
      </x:c>
      <x:c r="I202" s="7" t="str">
        <x:v>Not verified</x:v>
      </x:c>
      <x:c r="J202" s="7" t="str"/>
      <x:c r="K202" s="7" t="str"/>
    </x:row>
    <x:row r="203" ht="23" customHeight="1">
      <x:c r="A203" s="8" t="str">
        <x:v>1257</x:v>
      </x:c>
      <x:c r="B203" s="8" t="str">
        <x:v>N Willamette and Bryant</x:v>
      </x:c>
      <x:c r="C203" s="8" t="str">
        <x:v>uncertain</x:v>
      </x:c>
      <x:c r="D203" s="8" t="str">
        <x:v>unverified</x:v>
      </x:c>
      <x:c r="E203" s="8" t="n">
        <x:v>0</x:v>
      </x:c>
      <x:c r="F203" s="8" t="n">
        <x:v>0</x:v>
      </x:c>
      <x:c r="G203" s="8" t="n">
        <x:v>0</x:v>
      </x:c>
      <x:c r="H203" s="8" t="str">
        <x:v>not_verified_at_property_level</x:v>
      </x:c>
      <x:c r="I203" s="8" t="str">
        <x:v>Not verified</x:v>
      </x:c>
      <x:c r="J203" s="8" t="str"/>
      <x:c r="K203" s="8" t="str"/>
    </x:row>
    <x:row r="204" ht="23" customHeight="1">
      <x:c r="A204" s="7" t="str">
        <x:v>402</x:v>
      </x:c>
      <x:c r="B204" s="7" t="str">
        <x:v>NE Holman and 13th</x:v>
      </x:c>
      <x:c r="C204" s="7" t="str">
        <x:v>uncertain</x:v>
      </x:c>
      <x:c r="D204" s="7" t="str">
        <x:v>unverified</x:v>
      </x:c>
      <x:c r="E204" s="7" t="n">
        <x:v>0</x:v>
      </x:c>
      <x:c r="F204" s="7" t="n">
        <x:v>0</x:v>
      </x:c>
      <x:c r="G204" s="7" t="n">
        <x:v>0</x:v>
      </x:c>
      <x:c r="H204" s="7" t="str">
        <x:v>not_verified_at_property_level</x:v>
      </x:c>
      <x:c r="I204" s="7" t="str">
        <x:v>Not verified</x:v>
      </x:c>
      <x:c r="J204" s="7" t="str"/>
      <x:c r="K204" s="7" t="str"/>
    </x:row>
    <x:row r="205" ht="23" customHeight="1">
      <x:c r="A205" s="8" t="str">
        <x:v>436</x:v>
      </x:c>
      <x:c r="B205" s="8" t="str">
        <x:v>NE Sumner &amp; 47th</x:v>
      </x:c>
      <x:c r="C205" s="8" t="str">
        <x:v>uncertain</x:v>
      </x:c>
      <x:c r="D205" s="8" t="str">
        <x:v>unverified</x:v>
      </x:c>
      <x:c r="E205" s="8" t="n">
        <x:v>0</x:v>
      </x:c>
      <x:c r="F205" s="8" t="n">
        <x:v>0</x:v>
      </x:c>
      <x:c r="G205" s="8" t="n">
        <x:v>0</x:v>
      </x:c>
      <x:c r="H205" s="8" t="str">
        <x:v>not_verified_at_property_level</x:v>
      </x:c>
      <x:c r="I205" s="8" t="str">
        <x:v>Not verified</x:v>
      </x:c>
      <x:c r="J205" s="8" t="str"/>
      <x:c r="K205" s="8" t="str"/>
    </x:row>
    <x:row r="206" ht="23" customHeight="1">
      <x:c r="A206" s="7" t="str">
        <x:v>444</x:v>
      </x:c>
      <x:c r="B206" s="7" t="str">
        <x:v>Normandale Park</x:v>
      </x:c>
      <x:c r="C206" s="7" t="str">
        <x:v>developed-park</x:v>
      </x:c>
      <x:c r="D206" s="7" t="str">
        <x:v>public</x:v>
      </x:c>
      <x:c r="E206" s="7" t="n">
        <x:v>0</x:v>
      </x:c>
      <x:c r="F206" s="7" t="n">
        <x:v>1</x:v>
      </x:c>
      <x:c r="G206" s="7" t="n">
        <x:v>1</x:v>
      </x:c>
      <x:c r="H206" s="7" t="str">
        <x:v>not_verified_at_property_level</x:v>
      </x:c>
      <x:c r="I206" s="7" t="str">
        <x:v>Not verified</x:v>
      </x:c>
      <x:c r="J206" s="7" t="str">
        <x:v>Park hours: 5am-midnight</x:v>
      </x:c>
      <x:c r="K206" s="7" t="str">
        <x:v>https://www.portland.gov/parks/normandale-park</x:v>
      </x:c>
    </x:row>
    <x:row r="207" ht="23" customHeight="1">
      <x:c r="A207" s="8" t="str">
        <x:v>447</x:v>
      </x:c>
      <x:c r="B207" s="8" t="str">
        <x:v>North Park Blocks</x:v>
      </x:c>
      <x:c r="C207" s="8" t="str">
        <x:v>developed-park</x:v>
      </x:c>
      <x:c r="D207" s="8" t="str">
        <x:v>public</x:v>
      </x:c>
      <x:c r="E207" s="8" t="n">
        <x:v>0</x:v>
      </x:c>
      <x:c r="F207" s="8" t="n">
        <x:v>0</x:v>
      </x:c>
      <x:c r="G207" s="8" t="n">
        <x:v>0</x:v>
      </x:c>
      <x:c r="H207" s="8" t="str">
        <x:v>not_verified_at_property_level</x:v>
      </x:c>
      <x:c r="I207" s="8" t="str">
        <x:v>Not verified</x:v>
      </x:c>
      <x:c r="J207" s="8" t="str">
        <x:v>Park hours: 5:00am-9:00pm</x:v>
      </x:c>
      <x:c r="K207" s="8" t="str">
        <x:v>https://www.portland.gov/parks/north-park-blocks</x:v>
      </x:c>
    </x:row>
    <x:row r="208" ht="23" customHeight="1">
      <x:c r="A208" s="7" t="str">
        <x:v>449</x:v>
      </x:c>
      <x:c r="B208" s="7" t="str">
        <x:v>North Powellhurst Park</x:v>
      </x:c>
      <x:c r="C208" s="7" t="str">
        <x:v>developed-park</x:v>
      </x:c>
      <x:c r="D208" s="7" t="str">
        <x:v>public</x:v>
      </x:c>
      <x:c r="E208" s="7" t="n">
        <x:v>0</x:v>
      </x:c>
      <x:c r="F208" s="7" t="n">
        <x:v>0</x:v>
      </x:c>
      <x:c r="G208" s="7" t="n">
        <x:v>0</x:v>
      </x:c>
      <x:c r="H208" s="7" t="str">
        <x:v>not_verified_at_property_level</x:v>
      </x:c>
      <x:c r="I208" s="7" t="str">
        <x:v>Not verified</x:v>
      </x:c>
      <x:c r="J208" s="7" t="str">
        <x:v>Park hours: 5:00am-midnight</x:v>
      </x:c>
      <x:c r="K208" s="7" t="str">
        <x:v>https://www.portland.gov/parks/north-powellhurst-park</x:v>
      </x:c>
    </x:row>
    <x:row r="209" ht="23" customHeight="1">
      <x:c r="A209" s="8" t="str">
        <x:v>451</x:v>
      </x:c>
      <x:c r="B209" s="8" t="str">
        <x:v>Northgate Park</x:v>
      </x:c>
      <x:c r="C209" s="8" t="str">
        <x:v>developed-park</x:v>
      </x:c>
      <x:c r="D209" s="8" t="str">
        <x:v>public</x:v>
      </x:c>
      <x:c r="E209" s="8" t="n">
        <x:v>0</x:v>
      </x:c>
      <x:c r="F209" s="8" t="n">
        <x:v>0</x:v>
      </x:c>
      <x:c r="G209" s="8" t="n">
        <x:v>0</x:v>
      </x:c>
      <x:c r="H209" s="8" t="str">
        <x:v>not_verified_at_property_level</x:v>
      </x:c>
      <x:c r="I209" s="8" t="str">
        <x:v>Not verified</x:v>
      </x:c>
      <x:c r="J209" s="8" t="str">
        <x:v>Park hours: 5:00am-midnight To reserve a sports field, call 503-823-2525.</x:v>
      </x:c>
      <x:c r="K209" s="8" t="str">
        <x:v>https://www.portland.gov/parks/northgate-park</x:v>
      </x:c>
    </x:row>
    <x:row r="210" ht="23" customHeight="1">
      <x:c r="A210" s="7" t="str">
        <x:v>490</x:v>
      </x:c>
      <x:c r="B210" s="7" t="str">
        <x:v>Oaks Bottom Wildlife Refuge</x:v>
      </x:c>
      <x:c r="C210" s="7" t="str">
        <x:v>natural-area</x:v>
      </x:c>
      <x:c r="D210" s="7" t="str">
        <x:v>public</x:v>
      </x:c>
      <x:c r="E210" s="7" t="n">
        <x:v>0</x:v>
      </x:c>
      <x:c r="F210" s="7" t="n">
        <x:v>0</x:v>
      </x:c>
      <x:c r="G210" s="7" t="n">
        <x:v>0</x:v>
      </x:c>
      <x:c r="H210" s="7" t="str">
        <x:v>not_verified_at_property_level</x:v>
      </x:c>
      <x:c r="I210" s="7" t="str">
        <x:v>Not verified</x:v>
      </x:c>
      <x:c r="J210" s="7" t="str">
        <x:v>Open 5am to midnight North parking lot closed 10pm to 5am</x:v>
      </x:c>
      <x:c r="K210" s="7" t="str">
        <x:v>https://www.portland.gov/parks/oaks-bottom-wildlife-refuge</x:v>
      </x:c>
    </x:row>
    <x:row r="211" ht="23" customHeight="1">
      <x:c r="A211" s="8" t="str">
        <x:v>491</x:v>
      </x:c>
      <x:c r="B211" s="8" t="str">
        <x:v>Oaks Crossing</x:v>
      </x:c>
      <x:c r="C211" s="8" t="str">
        <x:v>natural-area</x:v>
      </x:c>
      <x:c r="D211" s="8" t="str">
        <x:v>unverified</x:v>
      </x:c>
      <x:c r="E211" s="8" t="n">
        <x:v>0</x:v>
      </x:c>
      <x:c r="F211" s="8" t="n">
        <x:v>0</x:v>
      </x:c>
      <x:c r="G211" s="8" t="n">
        <x:v>0</x:v>
      </x:c>
      <x:c r="H211" s="8" t="str">
        <x:v>not_verified_at_property_level</x:v>
      </x:c>
      <x:c r="I211" s="8" t="str">
        <x:v>Not verified</x:v>
      </x:c>
      <x:c r="J211" s="8" t="str"/>
      <x:c r="K211" s="8" t="str"/>
    </x:row>
    <x:row r="212" ht="23" customHeight="1">
      <x:c r="A212" s="7" t="str">
        <x:v>492</x:v>
      </x:c>
      <x:c r="B212" s="7" t="str">
        <x:v>Oaks Pioneer Church and Park</x:v>
      </x:c>
      <x:c r="C212" s="7" t="str">
        <x:v>developed-park</x:v>
      </x:c>
      <x:c r="D212" s="7" t="str">
        <x:v>public</x:v>
      </x:c>
      <x:c r="E212" s="7" t="n">
        <x:v>0</x:v>
      </x:c>
      <x:c r="F212" s="7" t="n">
        <x:v>0</x:v>
      </x:c>
      <x:c r="G212" s="7" t="n">
        <x:v>0</x:v>
      </x:c>
      <x:c r="H212" s="7" t="str">
        <x:v>not_verified_at_property_level</x:v>
      </x:c>
      <x:c r="I212" s="7" t="str">
        <x:v>Not verified</x:v>
      </x:c>
      <x:c r="J212" s="7" t="str">
        <x:v>Park hours: 5:00am-midnight For rental info on Oaks Pioneer Church, visit the website at www.oakspioneerchurch.org or call 503-234-3570.</x:v>
      </x:c>
      <x:c r="K212" s="7" t="str">
        <x:v>https://www.portland.gov/parks/oaks-pioneer-church-and-park</x:v>
      </x:c>
    </x:row>
    <x:row r="213" ht="23" customHeight="1">
      <x:c r="A213" s="8" t="str">
        <x:v>1464</x:v>
      </x:c>
      <x:c r="B213" s="8" t="str">
        <x:v>Oliver-Parklane Community Garden</x:v>
      </x:c>
      <x:c r="C213" s="8" t="str">
        <x:v>community-garden</x:v>
      </x:c>
      <x:c r="D213" s="8" t="str">
        <x:v>unverified</x:v>
      </x:c>
      <x:c r="E213" s="8" t="n">
        <x:v>0</x:v>
      </x:c>
      <x:c r="F213" s="8" t="n">
        <x:v>0</x:v>
      </x:c>
      <x:c r="G213" s="8" t="n">
        <x:v>0</x:v>
      </x:c>
      <x:c r="H213" s="8" t="str">
        <x:v>not_verified_at_property_level</x:v>
      </x:c>
      <x:c r="I213" s="8" t="str">
        <x:v>Not verified</x:v>
      </x:c>
      <x:c r="J213" s="8" t="str"/>
      <x:c r="K213" s="8" t="str"/>
    </x:row>
    <x:row r="214" ht="23" customHeight="1">
      <x:c r="A214" s="7" t="str">
        <x:v>495</x:v>
      </x:c>
      <x:c r="B214" s="7" t="str">
        <x:v>Oregon Park</x:v>
      </x:c>
      <x:c r="C214" s="7" t="str">
        <x:v>developed-park</x:v>
      </x:c>
      <x:c r="D214" s="7" t="str">
        <x:v>public</x:v>
      </x:c>
      <x:c r="E214" s="7" t="n">
        <x:v>0</x:v>
      </x:c>
      <x:c r="F214" s="7" t="n">
        <x:v>0</x:v>
      </x:c>
      <x:c r="G214" s="7" t="n">
        <x:v>0</x:v>
      </x:c>
      <x:c r="H214" s="7" t="str">
        <x:v>not_verified_at_property_level</x:v>
      </x:c>
      <x:c r="I214" s="7" t="str">
        <x:v>Not verified</x:v>
      </x:c>
      <x:c r="J214" s="7" t="str">
        <x:v>Park hours: 5:00am-midnight</x:v>
      </x:c>
      <x:c r="K214" s="7" t="str">
        <x:v>https://www.portland.gov/parks/oregon-park</x:v>
      </x:c>
    </x:row>
    <x:row r="215" ht="23" customHeight="1">
      <x:c r="A215" s="8" t="str">
        <x:v>496</x:v>
      </x:c>
      <x:c r="B215" s="8" t="str">
        <x:v>Overlook House Community Center</x:v>
      </x:c>
      <x:c r="C215" s="8" t="str">
        <x:v>facility-site</x:v>
      </x:c>
      <x:c r="D215" s="8" t="str">
        <x:v>unverified</x:v>
      </x:c>
      <x:c r="E215" s="8" t="n">
        <x:v>0</x:v>
      </x:c>
      <x:c r="F215" s="8" t="n">
        <x:v>0</x:v>
      </x:c>
      <x:c r="G215" s="8" t="n">
        <x:v>0</x:v>
      </x:c>
      <x:c r="H215" s="8" t="str">
        <x:v>not_verified_at_property_level</x:v>
      </x:c>
      <x:c r="I215" s="8" t="str">
        <x:v>Not verified</x:v>
      </x:c>
      <x:c r="J215" s="8" t="str"/>
      <x:c r="K215" s="8" t="str"/>
    </x:row>
    <x:row r="216" ht="23" customHeight="1">
      <x:c r="A216" s="7" t="str">
        <x:v>497</x:v>
      </x:c>
      <x:c r="B216" s="7" t="str">
        <x:v>Overlook Park</x:v>
      </x:c>
      <x:c r="C216" s="7" t="str">
        <x:v>developed-park</x:v>
      </x:c>
      <x:c r="D216" s="7" t="str">
        <x:v>public</x:v>
      </x:c>
      <x:c r="E216" s="7" t="n">
        <x:v>0</x:v>
      </x:c>
      <x:c r="F216" s="7" t="n">
        <x:v>1</x:v>
      </x:c>
      <x:c r="G216" s="7" t="n">
        <x:v>1</x:v>
      </x:c>
      <x:c r="H216" s="7" t="str">
        <x:v>not_verified_at_property_level</x:v>
      </x:c>
      <x:c r="I216" s="7" t="str">
        <x:v>Not verified</x:v>
      </x:c>
      <x:c r="J216" s="7" t="str">
        <x:v>Park hours: 5:00am-midnight To reserve a sports field or picnic area, call 503-823-2525. Picnic Maps &amp; Info</x:v>
      </x:c>
      <x:c r="K216" s="7" t="str">
        <x:v>https://www.portland.gov/parks/overlook-park</x:v>
      </x:c>
    </x:row>
    <x:row r="217" ht="23" customHeight="1">
      <x:c r="A217" s="8" t="str">
        <x:v>522</x:v>
      </x:c>
      <x:c r="B217" s="8" t="str">
        <x:v>Park Ranger Headquarters</x:v>
      </x:c>
      <x:c r="C217" s="8" t="str">
        <x:v>maintenance-yard</x:v>
      </x:c>
      <x:c r="D217" s="8" t="str">
        <x:v>restricted</x:v>
      </x:c>
      <x:c r="E217" s="8" t="n">
        <x:v>0</x:v>
      </x:c>
      <x:c r="F217" s="8" t="n">
        <x:v>0</x:v>
      </x:c>
      <x:c r="G217" s="8" t="n">
        <x:v>0</x:v>
      </x:c>
      <x:c r="H217" s="8" t="str">
        <x:v>not_verified_at_property_level</x:v>
      </x:c>
      <x:c r="I217" s="8" t="str">
        <x:v>Not verified</x:v>
      </x:c>
      <x:c r="J217" s="8" t="str"/>
      <x:c r="K217" s="8" t="str"/>
    </x:row>
    <x:row r="218" ht="23" customHeight="1">
      <x:c r="A218" s="7" t="str">
        <x:v>501</x:v>
      </x:c>
      <x:c r="B218" s="7" t="str">
        <x:v>Parklane Park</x:v>
      </x:c>
      <x:c r="C218" s="7" t="str">
        <x:v>developed-park</x:v>
      </x:c>
      <x:c r="D218" s="7" t="str">
        <x:v>public</x:v>
      </x:c>
      <x:c r="E218" s="7" t="n">
        <x:v>0</x:v>
      </x:c>
      <x:c r="F218" s="7" t="n">
        <x:v>0</x:v>
      </x:c>
      <x:c r="G218" s="7" t="n">
        <x:v>0</x:v>
      </x:c>
      <x:c r="H218" s="7" t="str">
        <x:v>not_verified_at_property_level</x:v>
      </x:c>
      <x:c r="I218" s="7" t="str">
        <x:v>Not verified</x:v>
      </x:c>
      <x:c r="J218" s="7" t="str">
        <x:v>Park hours: 5am to midnight</x:v>
      </x:c>
      <x:c r="K218" s="7" t="str">
        <x:v>https://www.portland.gov/parks/parklane-park</x:v>
      </x:c>
    </x:row>
    <x:row r="219" ht="23" customHeight="1">
      <x:c r="A219" s="8" t="str">
        <x:v>885</x:v>
      </x:c>
      <x:c r="B219" s="8" t="str">
        <x:v>Patton Community Garden</x:v>
      </x:c>
      <x:c r="C219" s="8" t="str">
        <x:v>community-garden</x:v>
      </x:c>
      <x:c r="D219" s="8" t="str">
        <x:v>limited</x:v>
      </x:c>
      <x:c r="E219" s="8" t="n">
        <x:v>0</x:v>
      </x:c>
      <x:c r="F219" s="8" t="n">
        <x:v>0</x:v>
      </x:c>
      <x:c r="G219" s="8" t="n">
        <x:v>0</x:v>
      </x:c>
      <x:c r="H219" s="8" t="str">
        <x:v>not_verified_at_property_level</x:v>
      </x:c>
      <x:c r="I219" s="8" t="str">
        <x:v>Not verified</x:v>
      </x:c>
      <x:c r="J219" s="8" t="str"/>
      <x:c r="K219" s="8" t="str">
        <x:v>https://www.portland.gov/parks/patton-community-garden</x:v>
      </x:c>
    </x:row>
    <x:row r="220" ht="23" customHeight="1">
      <x:c r="A220" s="7" t="str">
        <x:v>502</x:v>
      </x:c>
      <x:c r="B220" s="7" t="str">
        <x:v>Patton Square Park</x:v>
      </x:c>
      <x:c r="C220" s="7" t="str">
        <x:v>developed-park</x:v>
      </x:c>
      <x:c r="D220" s="7" t="str">
        <x:v>public</x:v>
      </x:c>
      <x:c r="E220" s="7" t="n">
        <x:v>0</x:v>
      </x:c>
      <x:c r="F220" s="7" t="n">
        <x:v>0</x:v>
      </x:c>
      <x:c r="G220" s="7" t="n">
        <x:v>0</x:v>
      </x:c>
      <x:c r="H220" s="7" t="str">
        <x:v>not_verified_at_property_level</x:v>
      </x:c>
      <x:c r="I220" s="7" t="str">
        <x:v>Not verified</x:v>
      </x:c>
      <x:c r="J220" s="7" t="str">
        <x:v>Park hours: 5:00am-midnight</x:v>
      </x:c>
      <x:c r="K220" s="7" t="str">
        <x:v>https://www.portland.gov/parks/patton-square-park</x:v>
      </x:c>
    </x:row>
    <x:row r="221" ht="23" customHeight="1">
      <x:c r="A221" s="8" t="str">
        <x:v>1337</x:v>
      </x:c>
      <x:c r="B221" s="8" t="str">
        <x:v>Peace Community Garden</x:v>
      </x:c>
      <x:c r="C221" s="8" t="str">
        <x:v>community-garden</x:v>
      </x:c>
      <x:c r="D221" s="8" t="str">
        <x:v>limited</x:v>
      </x:c>
      <x:c r="E221" s="8" t="n">
        <x:v>0</x:v>
      </x:c>
      <x:c r="F221" s="8" t="n">
        <x:v>0</x:v>
      </x:c>
      <x:c r="G221" s="8" t="n">
        <x:v>0</x:v>
      </x:c>
      <x:c r="H221" s="8" t="str">
        <x:v>not_verified_at_property_level</x:v>
      </x:c>
      <x:c r="I221" s="8" t="str">
        <x:v>Not verified</x:v>
      </x:c>
      <x:c r="J221" s="8" t="str"/>
      <x:c r="K221" s="8" t="str">
        <x:v>https://www.portland.gov/parks/peace-community-garden</x:v>
      </x:c>
    </x:row>
    <x:row r="222" ht="23" customHeight="1">
      <x:c r="A222" s="7" t="str">
        <x:v>503</x:v>
      </x:c>
      <x:c r="B222" s="7" t="str">
        <x:v>Pendleton Park</x:v>
      </x:c>
      <x:c r="C222" s="7" t="str">
        <x:v>developed-park</x:v>
      </x:c>
      <x:c r="D222" s="7" t="str">
        <x:v>public</x:v>
      </x:c>
      <x:c r="E222" s="7" t="n">
        <x:v>0</x:v>
      </x:c>
      <x:c r="F222" s="7" t="n">
        <x:v>0</x:v>
      </x:c>
      <x:c r="G222" s="7" t="n">
        <x:v>0</x:v>
      </x:c>
      <x:c r="H222" s="7" t="str">
        <x:v>not_verified_at_property_level</x:v>
      </x:c>
      <x:c r="I222" s="7" t="str">
        <x:v>Not verified</x:v>
      </x:c>
      <x:c r="J222" s="7" t="str">
        <x:v>Park hours: 5am to midnight</x:v>
      </x:c>
      <x:c r="K222" s="7" t="str">
        <x:v>https://www.portland.gov/parks/pendleton-park</x:v>
      </x:c>
    </x:row>
    <x:row r="223" ht="23" customHeight="1">
      <x:c r="A223" s="8" t="str">
        <x:v>506</x:v>
      </x:c>
      <x:c r="B223" s="8" t="str">
        <x:v>Peninsula Crossing Trail</x:v>
      </x:c>
      <x:c r="C223" s="8" t="str">
        <x:v>corridor</x:v>
      </x:c>
      <x:c r="D223" s="8" t="str">
        <x:v>unverified</x:v>
      </x:c>
      <x:c r="E223" s="8" t="n">
        <x:v>0</x:v>
      </x:c>
      <x:c r="F223" s="8" t="n">
        <x:v>0</x:v>
      </x:c>
      <x:c r="G223" s="8" t="n">
        <x:v>0</x:v>
      </x:c>
      <x:c r="H223" s="8" t="str">
        <x:v>not_verified_at_property_level</x:v>
      </x:c>
      <x:c r="I223" s="8" t="str">
        <x:v>Not verified</x:v>
      </x:c>
      <x:c r="J223" s="8" t="str"/>
      <x:c r="K223" s="8" t="str">
        <x:v>https://www.portland.gov/parks/peninsula-crossing-trail</x:v>
      </x:c>
    </x:row>
    <x:row r="224" ht="23" customHeight="1">
      <x:c r="A224" s="7" t="str">
        <x:v>507</x:v>
      </x:c>
      <x:c r="B224" s="7" t="str">
        <x:v>Peninsula Park</x:v>
      </x:c>
      <x:c r="C224" s="7" t="str">
        <x:v>developed-park</x:v>
      </x:c>
      <x:c r="D224" s="7" t="str">
        <x:v>public</x:v>
      </x:c>
      <x:c r="E224" s="7" t="n">
        <x:v>66</x:v>
      </x:c>
      <x:c r="F224" s="7" t="n">
        <x:v>2</x:v>
      </x:c>
      <x:c r="G224" s="7" t="n">
        <x:v>2</x:v>
      </x:c>
      <x:c r="H224" s="7" t="str">
        <x:v>not_verified_at_property_level</x:v>
      </x:c>
      <x:c r="I224" s="7" t="str">
        <x:v>Not verified</x:v>
      </x:c>
      <x:c r="J224" s="7" t="str">
        <x:v>Park hours: 5:00am-midnight. Tennis court lights are turned off at 10:00 PM. To reserve a sports field, picnic area or wedding site, call 503-823-2525. Picnic Site Maps and Info</x:v>
      </x:c>
      <x:c r="K224" s="7" t="str">
        <x:v>https://www.portland.gov/parks/peninsula-park</x:v>
      </x:c>
    </x:row>
    <x:row r="225" ht="23" customHeight="1">
      <x:c r="A225" s="8" t="str">
        <x:v>510</x:v>
      </x:c>
      <x:c r="B225" s="8" t="str">
        <x:v>Peter Kerr Property</x:v>
      </x:c>
      <x:c r="C225" s="8" t="str">
        <x:v>natural-area</x:v>
      </x:c>
      <x:c r="D225" s="8" t="str">
        <x:v>unverified</x:v>
      </x:c>
      <x:c r="E225" s="8" t="n">
        <x:v>0</x:v>
      </x:c>
      <x:c r="F225" s="8" t="n">
        <x:v>0</x:v>
      </x:c>
      <x:c r="G225" s="8" t="n">
        <x:v>0</x:v>
      </x:c>
      <x:c r="H225" s="8" t="str">
        <x:v>not_verified_at_property_level</x:v>
      </x:c>
      <x:c r="I225" s="8" t="str">
        <x:v>Not verified</x:v>
      </x:c>
      <x:c r="J225" s="8" t="str"/>
      <x:c r="K225" s="8" t="str"/>
    </x:row>
    <x:row r="226" ht="23" customHeight="1">
      <x:c r="A226" s="7" t="str">
        <x:v>511</x:v>
      </x:c>
      <x:c r="B226" s="7" t="str">
        <x:v>Pettygrove Park</x:v>
      </x:c>
      <x:c r="C226" s="7" t="str">
        <x:v>developed-park</x:v>
      </x:c>
      <x:c r="D226" s="7" t="str">
        <x:v>public</x:v>
      </x:c>
      <x:c r="E226" s="7" t="n">
        <x:v>0</x:v>
      </x:c>
      <x:c r="F226" s="7" t="n">
        <x:v>0</x:v>
      </x:c>
      <x:c r="G226" s="7" t="n">
        <x:v>0</x:v>
      </x:c>
      <x:c r="H226" s="7" t="str">
        <x:v>not_verified_at_property_level</x:v>
      </x:c>
      <x:c r="I226" s="7" t="str">
        <x:v>Not verified</x:v>
      </x:c>
      <x:c r="J226" s="7" t="str">
        <x:v>Park hours: 5:00am-midnight</x:v>
      </x:c>
      <x:c r="K226" s="7" t="str">
        <x:v>https://www.portland.gov/parks/pettygrove-park</x:v>
      </x:c>
    </x:row>
    <x:row r="227" ht="23" customHeight="1">
      <x:c r="A227" s="8" t="str">
        <x:v>512</x:v>
      </x:c>
      <x:c r="B227" s="8" t="str">
        <x:v>Piccolo Park</x:v>
      </x:c>
      <x:c r="C227" s="8" t="str">
        <x:v>developed-park</x:v>
      </x:c>
      <x:c r="D227" s="8" t="str">
        <x:v>public</x:v>
      </x:c>
      <x:c r="E227" s="8" t="n">
        <x:v>0</x:v>
      </x:c>
      <x:c r="F227" s="8" t="n">
        <x:v>0</x:v>
      </x:c>
      <x:c r="G227" s="8" t="n">
        <x:v>0</x:v>
      </x:c>
      <x:c r="H227" s="8" t="str">
        <x:v>not_verified_at_property_level</x:v>
      </x:c>
      <x:c r="I227" s="8" t="str">
        <x:v>Not verified</x:v>
      </x:c>
      <x:c r="J227" s="8" t="str">
        <x:v>Park hours: 5:00am-midnight</x:v>
      </x:c>
      <x:c r="K227" s="8" t="str">
        <x:v>https://www.portland.gov/parks/piccolo-park</x:v>
      </x:c>
    </x:row>
    <x:row r="228" ht="23" customHeight="1">
      <x:c r="A228" s="7" t="str">
        <x:v>1236</x:v>
      </x:c>
      <x:c r="B228" s="7" t="str">
        <x:v>Pier Community Garden</x:v>
      </x:c>
      <x:c r="C228" s="7" t="str">
        <x:v>community-garden</x:v>
      </x:c>
      <x:c r="D228" s="7" t="str">
        <x:v>limited</x:v>
      </x:c>
      <x:c r="E228" s="7" t="n">
        <x:v>0</x:v>
      </x:c>
      <x:c r="F228" s="7" t="n">
        <x:v>0</x:v>
      </x:c>
      <x:c r="G228" s="7" t="n">
        <x:v>0</x:v>
      </x:c>
      <x:c r="H228" s="7" t="str">
        <x:v>not_verified_at_property_level</x:v>
      </x:c>
      <x:c r="I228" s="7" t="str">
        <x:v>Not verified</x:v>
      </x:c>
      <x:c r="J228" s="7" t="str"/>
      <x:c r="K228" s="7" t="str">
        <x:v>https://www.portland.gov/parks/pier-community-garden</x:v>
      </x:c>
    </x:row>
    <x:row r="229" ht="23" customHeight="1">
      <x:c r="A229" s="8" t="str">
        <x:v>513</x:v>
      </x:c>
      <x:c r="B229" s="8" t="str">
        <x:v>Pier Park</x:v>
      </x:c>
      <x:c r="C229" s="8" t="str">
        <x:v>developed-park</x:v>
      </x:c>
      <x:c r="D229" s="8" t="str">
        <x:v>public</x:v>
      </x:c>
      <x:c r="E229" s="8" t="n">
        <x:v>0</x:v>
      </x:c>
      <x:c r="F229" s="8" t="n">
        <x:v>8</x:v>
      </x:c>
      <x:c r="G229" s="8" t="n">
        <x:v>8</x:v>
      </x:c>
      <x:c r="H229" s="8" t="str">
        <x:v>not_verified_at_property_level</x:v>
      </x:c>
      <x:c r="I229" s="8" t="str">
        <x:v>Not verified</x:v>
      </x:c>
      <x:c r="J229" s="8" t="str">
        <x:v>Park hours: 5am to midnight To reserve a sports field or picnic area, call 503-823-2525</x:v>
      </x:c>
      <x:c r="K229" s="8" t="str">
        <x:v>https://www.portland.gov/parks/pier-park</x:v>
      </x:c>
    </x:row>
    <x:row r="230" ht="23" customHeight="1">
      <x:c r="A230" s="7" t="str">
        <x:v>515</x:v>
      </x:c>
      <x:c r="B230" s="7" t="str">
        <x:v>Pioneer Courthouse Square</x:v>
      </x:c>
      <x:c r="C230" s="7" t="str">
        <x:v>plaza-memorial</x:v>
      </x:c>
      <x:c r="D230" s="7" t="str">
        <x:v>public</x:v>
      </x:c>
      <x:c r="E230" s="7" t="n">
        <x:v>0</x:v>
      </x:c>
      <x:c r="F230" s="7" t="n">
        <x:v>0</x:v>
      </x:c>
      <x:c r="G230" s="7" t="n">
        <x:v>0</x:v>
      </x:c>
      <x:c r="H230" s="7" t="str">
        <x:v>not_verified_at_property_level</x:v>
      </x:c>
      <x:c r="I230" s="7" t="str">
        <x:v>Not verified</x:v>
      </x:c>
      <x:c r="J230" s="7" t="str">
        <x:v>Park hours: 5:00am-midnight</x:v>
      </x:c>
      <x:c r="K230" s="7" t="str">
        <x:v>https://www.portland.gov/parks/pioneer-courthouse-square</x:v>
      </x:c>
    </x:row>
    <x:row r="231" ht="23" customHeight="1">
      <x:c r="A231" s="8" t="str">
        <x:v>1128</x:v>
      </x:c>
      <x:c r="B231" s="8" t="str">
        <x:v>Pittock Acres Park</x:v>
      </x:c>
      <x:c r="C231" s="8" t="str">
        <x:v>developed-park</x:v>
      </x:c>
      <x:c r="D231" s="8" t="str">
        <x:v>public</x:v>
      </x:c>
      <x:c r="E231" s="8" t="n">
        <x:v>0</x:v>
      </x:c>
      <x:c r="F231" s="8" t="n">
        <x:v>0</x:v>
      </x:c>
      <x:c r="G231" s="8" t="n">
        <x:v>0</x:v>
      </x:c>
      <x:c r="H231" s="8" t="str">
        <x:v>not_verified_at_property_level</x:v>
      </x:c>
      <x:c r="I231" s="8" t="str">
        <x:v>Not verified</x:v>
      </x:c>
      <x:c r="J231" s="8" t="str">
        <x:v>Park hours: 6:00 a.m.-9:00 p.m. Park road gate closed at 9:00 p.m. nightly.</x:v>
      </x:c>
      <x:c r="K231" s="8" t="str">
        <x:v>https://www.portland.gov/parks/pittock-acres-park</x:v>
      </x:c>
    </x:row>
    <x:row r="232" ht="23" customHeight="1">
      <x:c r="A232" s="7" t="str">
        <x:v>812</x:v>
      </x:c>
      <x:c r="B232" s="7" t="str">
        <x:v>PlayHaven Park</x:v>
      </x:c>
      <x:c r="C232" s="7" t="str">
        <x:v>developed-park</x:v>
      </x:c>
      <x:c r="D232" s="7" t="str">
        <x:v>public</x:v>
      </x:c>
      <x:c r="E232" s="7" t="n">
        <x:v>0</x:v>
      </x:c>
      <x:c r="F232" s="7" t="n">
        <x:v>0</x:v>
      </x:c>
      <x:c r="G232" s="7" t="n">
        <x:v>0</x:v>
      </x:c>
      <x:c r="H232" s="7" t="str">
        <x:v>not_verified_at_property_level</x:v>
      </x:c>
      <x:c r="I232" s="7" t="str">
        <x:v>Not verified</x:v>
      </x:c>
      <x:c r="J232" s="7" t="str">
        <x:v>Park hours: 5:00am-midnight</x:v>
      </x:c>
      <x:c r="K232" s="7" t="str">
        <x:v>https://www.portland.gov/parks/playhaven-park</x:v>
      </x:c>
    </x:row>
    <x:row r="233" ht="23" customHeight="1">
      <x:c r="A233" s="8" t="str">
        <x:v>1139</x:v>
      </x:c>
      <x:c r="B233" s="8" t="str">
        <x:v>Plaza Blocks</x:v>
      </x:c>
      <x:c r="C233" s="8" t="str">
        <x:v>plaza-memorial</x:v>
      </x:c>
      <x:c r="D233" s="8" t="str">
        <x:v>unverified</x:v>
      </x:c>
      <x:c r="E233" s="8" t="n">
        <x:v>0</x:v>
      </x:c>
      <x:c r="F233" s="8" t="n">
        <x:v>0</x:v>
      </x:c>
      <x:c r="G233" s="8" t="n">
        <x:v>0</x:v>
      </x:c>
      <x:c r="H233" s="8" t="str">
        <x:v>not_verified_at_property_level</x:v>
      </x:c>
      <x:c r="I233" s="8" t="str">
        <x:v>Not verified</x:v>
      </x:c>
      <x:c r="J233" s="8" t="str"/>
      <x:c r="K233" s="8" t="str"/>
    </x:row>
    <x:row r="234" ht="23" customHeight="1">
      <x:c r="A234" s="7" t="str">
        <x:v>523</x:v>
      </x:c>
      <x:c r="B234" s="7" t="str">
        <x:v>Portland Heights Park</x:v>
      </x:c>
      <x:c r="C234" s="7" t="str">
        <x:v>developed-park</x:v>
      </x:c>
      <x:c r="D234" s="7" t="str">
        <x:v>public</x:v>
      </x:c>
      <x:c r="E234" s="7" t="n">
        <x:v>0</x:v>
      </x:c>
      <x:c r="F234" s="7" t="n">
        <x:v>0</x:v>
      </x:c>
      <x:c r="G234" s="7" t="n">
        <x:v>0</x:v>
      </x:c>
      <x:c r="H234" s="7" t="str">
        <x:v>not_verified_at_property_level</x:v>
      </x:c>
      <x:c r="I234" s="7" t="str">
        <x:v>Not verified</x:v>
      </x:c>
      <x:c r="J234" s="7" t="str">
        <x:v>Park hours: 5:00am-midnight To reserve a sports field, call 503-823-2525.</x:v>
      </x:c>
      <x:c r="K234" s="7" t="str">
        <x:v>https://www.portland.gov/parks/portland-heights-park</x:v>
      </x:c>
    </x:row>
    <x:row r="235" ht="23" customHeight="1">
      <x:c r="A235" s="8" t="str">
        <x:v>524</x:v>
      </x:c>
      <x:c r="B235" s="8" t="str">
        <x:v>Portland International Raceway</x:v>
      </x:c>
      <x:c r="C235" s="8" t="str">
        <x:v>golf-raceway</x:v>
      </x:c>
      <x:c r="D235" s="8" t="str">
        <x:v>limited</x:v>
      </x:c>
      <x:c r="E235" s="8" t="n">
        <x:v>0</x:v>
      </x:c>
      <x:c r="F235" s="8" t="n">
        <x:v>0</x:v>
      </x:c>
      <x:c r="G235" s="8" t="n">
        <x:v>0</x:v>
      </x:c>
      <x:c r="H235" s="8" t="str">
        <x:v>not_verified_at_property_level</x:v>
      </x:c>
      <x:c r="I235" s="8" t="str">
        <x:v>Not verified</x:v>
      </x:c>
      <x:c r="J235" s="8" t="str">
        <x:v>Go to www.portlandraceway.com for full facility and event details.</x:v>
      </x:c>
      <x:c r="K235" s="8" t="str">
        <x:v>https://www.portland.gov/parks/portland-international-raceway</x:v>
      </x:c>
    </x:row>
    <x:row r="236" ht="23" customHeight="1">
      <x:c r="A236" s="7" t="str">
        <x:v>884</x:v>
      </x:c>
      <x:c r="B236" s="7" t="str">
        <x:v>Portsmouth Community Garden</x:v>
      </x:c>
      <x:c r="C236" s="7" t="str">
        <x:v>community-garden</x:v>
      </x:c>
      <x:c r="D236" s="7" t="str">
        <x:v>limited</x:v>
      </x:c>
      <x:c r="E236" s="7" t="n">
        <x:v>0</x:v>
      </x:c>
      <x:c r="F236" s="7" t="n">
        <x:v>0</x:v>
      </x:c>
      <x:c r="G236" s="7" t="n">
        <x:v>0</x:v>
      </x:c>
      <x:c r="H236" s="7" t="str">
        <x:v>not_verified_at_property_level</x:v>
      </x:c>
      <x:c r="I236" s="7" t="str">
        <x:v>Not verified</x:v>
      </x:c>
      <x:c r="J236" s="7" t="str"/>
      <x:c r="K236" s="7" t="str">
        <x:v>https://www.portland.gov/parks/portsmouth-community-garden</x:v>
      </x:c>
    </x:row>
    <x:row r="237" ht="23" customHeight="1">
      <x:c r="A237" s="8" t="str">
        <x:v>527</x:v>
      </x:c>
      <x:c r="B237" s="8" t="str">
        <x:v>Portsmouth Park</x:v>
      </x:c>
      <x:c r="C237" s="8" t="str">
        <x:v>developed-park</x:v>
      </x:c>
      <x:c r="D237" s="8" t="str">
        <x:v>public</x:v>
      </x:c>
      <x:c r="E237" s="8" t="n">
        <x:v>0</x:v>
      </x:c>
      <x:c r="F237" s="8" t="n">
        <x:v>0</x:v>
      </x:c>
      <x:c r="G237" s="8" t="n">
        <x:v>0</x:v>
      </x:c>
      <x:c r="H237" s="8" t="str">
        <x:v>not_verified_at_property_level</x:v>
      </x:c>
      <x:c r="I237" s="8" t="str">
        <x:v>Not verified</x:v>
      </x:c>
      <x:c r="J237" s="8" t="str">
        <x:v>Park hours: 5:00am-midnight To reserve a sports field, call 503-823-2525.</x:v>
      </x:c>
      <x:c r="K237" s="8" t="str">
        <x:v>https://www.portland.gov/parks/portsmouth-park</x:v>
      </x:c>
    </x:row>
    <x:row r="238" ht="23" customHeight="1">
      <x:c r="A238" s="7" t="str">
        <x:v>1393</x:v>
      </x:c>
      <x:c r="B238" s="7" t="str">
        <x:v>Powell Butte - Lower Floodplain</x:v>
      </x:c>
      <x:c r="C238" s="7" t="str">
        <x:v>natural-area</x:v>
      </x:c>
      <x:c r="D238" s="7" t="str">
        <x:v>unverified</x:v>
      </x:c>
      <x:c r="E238" s="7" t="n">
        <x:v>0</x:v>
      </x:c>
      <x:c r="F238" s="7" t="n">
        <x:v>0</x:v>
      </x:c>
      <x:c r="G238" s="7" t="n">
        <x:v>0</x:v>
      </x:c>
      <x:c r="H238" s="7" t="str">
        <x:v>not_verified_at_property_level</x:v>
      </x:c>
      <x:c r="I238" s="7" t="str">
        <x:v>Not verified</x:v>
      </x:c>
      <x:c r="J238" s="7" t="str"/>
      <x:c r="K238" s="7" t="str"/>
    </x:row>
    <x:row r="239" ht="23" customHeight="1">
      <x:c r="A239" s="8" t="str">
        <x:v>1498</x:v>
      </x:c>
      <x:c r="B239" s="8" t="str">
        <x:v>Powell Butte Community Garden</x:v>
      </x:c>
      <x:c r="C239" s="8" t="str">
        <x:v>community-garden</x:v>
      </x:c>
      <x:c r="D239" s="8" t="str">
        <x:v>limited</x:v>
      </x:c>
      <x:c r="E239" s="8" t="n">
        <x:v>0</x:v>
      </x:c>
      <x:c r="F239" s="8" t="n">
        <x:v>0</x:v>
      </x:c>
      <x:c r="G239" s="8" t="n">
        <x:v>0</x:v>
      </x:c>
      <x:c r="H239" s="8" t="str">
        <x:v>not_verified_at_property_level</x:v>
      </x:c>
      <x:c r="I239" s="8" t="str">
        <x:v>Not verified</x:v>
      </x:c>
      <x:c r="J239" s="8" t="str"/>
      <x:c r="K239" s="8" t="str">
        <x:v>https://www.portland.gov/parks/powell-butte-community-garden</x:v>
      </x:c>
    </x:row>
    <x:row r="240" ht="23" customHeight="1">
      <x:c r="A240" s="7" t="str">
        <x:v>528</x:v>
      </x:c>
      <x:c r="B240" s="7" t="str">
        <x:v>Powell Butte Nature Park</x:v>
      </x:c>
      <x:c r="C240" s="7" t="str">
        <x:v>natural-area</x:v>
      </x:c>
      <x:c r="D240" s="7" t="str">
        <x:v>public</x:v>
      </x:c>
      <x:c r="E240" s="7" t="n">
        <x:v>0</x:v>
      </x:c>
      <x:c r="F240" s="7" t="n">
        <x:v>0</x:v>
      </x:c>
      <x:c r="G240" s="7" t="n">
        <x:v>0</x:v>
      </x:c>
      <x:c r="H240" s="7" t="str">
        <x:v>not_verified_at_property_level</x:v>
      </x:c>
      <x:c r="I240" s="7" t="str">
        <x:v>Not verified</x:v>
      </x:c>
      <x:c r="J240" s="7" t="str">
        <x:v>Park hours 5am to 10pm Road and parking lot access hours Fall: 7am to 8pm (Labor Day until switch to Pacific Standard Time) Winter: 7am to 6pm (until switch to Daylight Savings Time) Spring: 7am to 8pm (until Memorial Day) Summer: 7am to 10pm (Memorial Day to Labor Day) Visitor Center hours Wednesday through Sunday, 9am to 3pm</x:v>
      </x:c>
      <x:c r="K240" s="7" t="str">
        <x:v>https://www.portland.gov/parks/powell-butte-nature-park</x:v>
      </x:c>
    </x:row>
    <x:row r="241" ht="23" customHeight="1">
      <x:c r="A241" s="8" t="str">
        <x:v>530</x:v>
      </x:c>
      <x:c r="B241" s="8" t="str">
        <x:v>Powell Park</x:v>
      </x:c>
      <x:c r="C241" s="8" t="str">
        <x:v>developed-park</x:v>
      </x:c>
      <x:c r="D241" s="8" t="str">
        <x:v>public</x:v>
      </x:c>
      <x:c r="E241" s="8" t="n">
        <x:v>0</x:v>
      </x:c>
      <x:c r="F241" s="8" t="n">
        <x:v>1</x:v>
      </x:c>
      <x:c r="G241" s="8" t="n">
        <x:v>1</x:v>
      </x:c>
      <x:c r="H241" s="8" t="str">
        <x:v>not_verified_at_property_level</x:v>
      </x:c>
      <x:c r="I241" s="8" t="str">
        <x:v>Not verified</x:v>
      </x:c>
      <x:c r="J241" s="8" t="str">
        <x:v>Park hours: 5:00am-midnight To reserve a sports field or picnic area, call 503-823-2525. Picnic Sites &amp; Info</x:v>
      </x:c>
      <x:c r="K241" s="8" t="str">
        <x:v>https://www.portland.gov/parks/powell-park</x:v>
      </x:c>
    </x:row>
    <x:row r="242" ht="23" customHeight="1">
      <x:c r="A242" s="7" t="str">
        <x:v>531</x:v>
      </x:c>
      <x:c r="B242" s="7" t="str">
        <x:v>Powers Marine Park</x:v>
      </x:c>
      <x:c r="C242" s="7" t="str">
        <x:v>natural-area</x:v>
      </x:c>
      <x:c r="D242" s="7" t="str">
        <x:v>public</x:v>
      </x:c>
      <x:c r="E242" s="7" t="n">
        <x:v>0</x:v>
      </x:c>
      <x:c r="F242" s="7" t="n">
        <x:v>0</x:v>
      </x:c>
      <x:c r="G242" s="7" t="n">
        <x:v>0</x:v>
      </x:c>
      <x:c r="H242" s="7" t="str">
        <x:v>not_verified_at_property_level</x:v>
      </x:c>
      <x:c r="I242" s="7" t="str">
        <x:v>Not verified</x:v>
      </x:c>
      <x:c r="J242" s="7" t="str">
        <x:v>Park hours: 5:00am-midnight</x:v>
      </x:c>
      <x:c r="K242" s="7" t="str">
        <x:v>https://www.portland.gov/parks/powers-marine-park</x:v>
      </x:c>
    </x:row>
    <x:row r="243" ht="23" customHeight="1">
      <x:c r="A243" s="8" t="str">
        <x:v>561</x:v>
      </x:c>
      <x:c r="B243" s="8" t="str">
        <x:v>Raymond Park</x:v>
      </x:c>
      <x:c r="C243" s="8" t="str">
        <x:v>developed-park</x:v>
      </x:c>
      <x:c r="D243" s="8" t="str">
        <x:v>public</x:v>
      </x:c>
      <x:c r="E243" s="8" t="n">
        <x:v>0</x:v>
      </x:c>
      <x:c r="F243" s="8" t="n">
        <x:v>0</x:v>
      </x:c>
      <x:c r="G243" s="8" t="n">
        <x:v>0</x:v>
      </x:c>
      <x:c r="H243" s="8" t="str">
        <x:v>not_verified_at_property_level</x:v>
      </x:c>
      <x:c r="I243" s="8" t="str">
        <x:v>Not verified</x:v>
      </x:c>
      <x:c r="J243" s="8" t="str">
        <x:v>Park hours: 5:00am-10:00pm</x:v>
      </x:c>
      <x:c r="K243" s="8" t="str">
        <x:v>https://www.portland.gov/parks/raymond-park</x:v>
      </x:c>
    </x:row>
    <x:row r="244" ht="23" customHeight="1">
      <x:c r="A244" s="7" t="str">
        <x:v>562</x:v>
      </x:c>
      <x:c r="B244" s="7" t="str">
        <x:v>Red Tail Golf Course</x:v>
      </x:c>
      <x:c r="C244" s="7" t="str">
        <x:v>golf-raceway</x:v>
      </x:c>
      <x:c r="D244" s="7" t="str">
        <x:v>unverified</x:v>
      </x:c>
      <x:c r="E244" s="7" t="n">
        <x:v>0</x:v>
      </x:c>
      <x:c r="F244" s="7" t="n">
        <x:v>0</x:v>
      </x:c>
      <x:c r="G244" s="7" t="n">
        <x:v>0</x:v>
      </x:c>
      <x:c r="H244" s="7" t="str">
        <x:v>not_verified_at_property_level</x:v>
      </x:c>
      <x:c r="I244" s="7" t="str">
        <x:v>Not verified</x:v>
      </x:c>
      <x:c r="J244" s="7" t="str"/>
      <x:c r="K244" s="7" t="str"/>
    </x:row>
    <x:row r="245" ht="23" customHeight="1">
      <x:c r="A245" s="8" t="str">
        <x:v>565</x:v>
      </x:c>
      <x:c r="B245" s="8" t="str">
        <x:v>Richmond Property</x:v>
      </x:c>
      <x:c r="C245" s="8" t="str">
        <x:v>developed-park</x:v>
      </x:c>
      <x:c r="D245" s="8" t="str">
        <x:v>unverified</x:v>
      </x:c>
      <x:c r="E245" s="8" t="n">
        <x:v>0</x:v>
      </x:c>
      <x:c r="F245" s="8" t="n">
        <x:v>0</x:v>
      </x:c>
      <x:c r="G245" s="8" t="n">
        <x:v>0</x:v>
      </x:c>
      <x:c r="H245" s="8" t="str">
        <x:v>not_verified_at_property_level</x:v>
      </x:c>
      <x:c r="I245" s="8" t="str">
        <x:v>Not verified</x:v>
      </x:c>
      <x:c r="J245" s="8" t="str"/>
      <x:c r="K245" s="8" t="str"/>
    </x:row>
    <x:row r="246" ht="23" customHeight="1">
      <x:c r="A246" s="7" t="str">
        <x:v>1261</x:v>
      </x:c>
      <x:c r="B246" s="7" t="str">
        <x:v>Rigler Community Garden</x:v>
      </x:c>
      <x:c r="C246" s="7" t="str">
        <x:v>community-garden</x:v>
      </x:c>
      <x:c r="D246" s="7" t="str">
        <x:v>limited</x:v>
      </x:c>
      <x:c r="E246" s="7" t="n">
        <x:v>0</x:v>
      </x:c>
      <x:c r="F246" s="7" t="n">
        <x:v>0</x:v>
      </x:c>
      <x:c r="G246" s="7" t="n">
        <x:v>0</x:v>
      </x:c>
      <x:c r="H246" s="7" t="str">
        <x:v>not_verified_at_property_level</x:v>
      </x:c>
      <x:c r="I246" s="7" t="str">
        <x:v>Not verified</x:v>
      </x:c>
      <x:c r="J246" s="7" t="str"/>
      <x:c r="K246" s="7" t="str">
        <x:v>https://www.portland.gov/parks/rigler-community-garden</x:v>
      </x:c>
    </x:row>
    <x:row r="247" ht="23" customHeight="1">
      <x:c r="A247" s="8" t="str">
        <x:v>1427</x:v>
      </x:c>
      <x:c r="B247" s="8" t="str">
        <x:v>River View Natural Area</x:v>
      </x:c>
      <x:c r="C247" s="8" t="str">
        <x:v>natural-area</x:v>
      </x:c>
      <x:c r="D247" s="8" t="str">
        <x:v>unverified</x:v>
      </x:c>
      <x:c r="E247" s="8" t="n">
        <x:v>0</x:v>
      </x:c>
      <x:c r="F247" s="8" t="n">
        <x:v>0</x:v>
      </x:c>
      <x:c r="G247" s="8" t="n">
        <x:v>0</x:v>
      </x:c>
      <x:c r="H247" s="8" t="str">
        <x:v>not_verified_at_property_level</x:v>
      </x:c>
      <x:c r="I247" s="8" t="str">
        <x:v>Not verified</x:v>
      </x:c>
      <x:c r="J247" s="8" t="str"/>
      <x:c r="K247" s="8" t="str"/>
    </x:row>
    <x:row r="248" ht="23" customHeight="1">
      <x:c r="A248" s="7" t="str">
        <x:v>568</x:v>
      </x:c>
      <x:c r="B248" s="7" t="str">
        <x:v>Rocky Butte Natural Area</x:v>
      </x:c>
      <x:c r="C248" s="7" t="str">
        <x:v>natural-area</x:v>
      </x:c>
      <x:c r="D248" s="7" t="str">
        <x:v>public</x:v>
      </x:c>
      <x:c r="E248" s="7" t="n">
        <x:v>0</x:v>
      </x:c>
      <x:c r="F248" s="7" t="n">
        <x:v>0</x:v>
      </x:c>
      <x:c r="G248" s="7" t="n">
        <x:v>0</x:v>
      </x:c>
      <x:c r="H248" s="7" t="str">
        <x:v>not_verified_at_property_level</x:v>
      </x:c>
      <x:c r="I248" s="7" t="str">
        <x:v>Not verified</x:v>
      </x:c>
      <x:c r="J248" s="7" t="str">
        <x:v>5:00 a.m. to midnight. Parking around the park is restricted in the evening; review parking signage carefully.</x:v>
      </x:c>
      <x:c r="K248" s="7" t="str">
        <x:v>https://www.portland.gov/parks/rocky-butte-natural-area</x:v>
      </x:c>
    </x:row>
    <x:row r="249" ht="23" customHeight="1">
      <x:c r="A249" s="8" t="str">
        <x:v>570</x:v>
      </x:c>
      <x:c r="B249" s="8" t="str">
        <x:v>Rose City Golf Course</x:v>
      </x:c>
      <x:c r="C249" s="8" t="str">
        <x:v>golf-raceway</x:v>
      </x:c>
      <x:c r="D249" s="8" t="str">
        <x:v>limited</x:v>
      </x:c>
      <x:c r="E249" s="8" t="n">
        <x:v>0</x:v>
      </x:c>
      <x:c r="F249" s="8" t="n">
        <x:v>0</x:v>
      </x:c>
      <x:c r="G249" s="8" t="n">
        <x:v>0</x:v>
      </x:c>
      <x:c r="H249" s="8" t="str">
        <x:v>not_verified_at_property_level</x:v>
      </x:c>
      <x:c r="I249" s="8" t="str">
        <x:v>Not verified</x:v>
      </x:c>
      <x:c r="J249" s="8" t="str">
        <x:v>Course hours: 7am to 7pm Rose City Grill hours: 7am to 7pm</x:v>
      </x:c>
      <x:c r="K249" s="8" t="str">
        <x:v>https://www.portland.gov/parks/rose-city-golf-course</x:v>
      </x:c>
    </x:row>
    <x:row r="250" ht="23" customHeight="1">
      <x:c r="A250" s="7" t="str">
        <x:v>573</x:v>
      </x:c>
      <x:c r="B250" s="7" t="str">
        <x:v>Rose City Park</x:v>
      </x:c>
      <x:c r="C250" s="7" t="str">
        <x:v>developed-park</x:v>
      </x:c>
      <x:c r="D250" s="7" t="str">
        <x:v>public</x:v>
      </x:c>
      <x:c r="E250" s="7" t="n">
        <x:v>0</x:v>
      </x:c>
      <x:c r="F250" s="7" t="n">
        <x:v>0</x:v>
      </x:c>
      <x:c r="G250" s="7" t="n">
        <x:v>0</x:v>
      </x:c>
      <x:c r="H250" s="7" t="str">
        <x:v>not_verified_at_property_level</x:v>
      </x:c>
      <x:c r="I250" s="7" t="str">
        <x:v>Not verified</x:v>
      </x:c>
      <x:c r="J250" s="7" t="str">
        <x:v>Park hours: 5:00am-midnight To reserve a sports field, call 503-823-2525.</x:v>
      </x:c>
      <x:c r="K250" s="7" t="str">
        <x:v>https://www.portland.gov/parks/rose-city-park</x:v>
      </x:c>
    </x:row>
    <x:row r="251" ht="23" customHeight="1">
      <x:c r="A251" s="8" t="str">
        <x:v>574</x:v>
      </x:c>
      <x:c r="B251" s="8" t="str">
        <x:v>Roselawn Park</x:v>
      </x:c>
      <x:c r="C251" s="8" t="str">
        <x:v>uncertain</x:v>
      </x:c>
      <x:c r="D251" s="8" t="str">
        <x:v>unverified</x:v>
      </x:c>
      <x:c r="E251" s="8" t="n">
        <x:v>0</x:v>
      </x:c>
      <x:c r="F251" s="8" t="n">
        <x:v>0</x:v>
      </x:c>
      <x:c r="G251" s="8" t="n">
        <x:v>0</x:v>
      </x:c>
      <x:c r="H251" s="8" t="str">
        <x:v>not_verified_at_property_level</x:v>
      </x:c>
      <x:c r="I251" s="8" t="str">
        <x:v>Not verified</x:v>
      </x:c>
      <x:c r="J251" s="8" t="str"/>
      <x:c r="K251" s="8" t="str"/>
    </x:row>
    <x:row r="252" ht="23" customHeight="1">
      <x:c r="A252" s="7" t="str">
        <x:v>575</x:v>
      </x:c>
      <x:c r="B252" s="7" t="str">
        <x:v>Rosemont Bluff Natural Area</x:v>
      </x:c>
      <x:c r="C252" s="7" t="str">
        <x:v>natural-area</x:v>
      </x:c>
      <x:c r="D252" s="7" t="str">
        <x:v>unverified</x:v>
      </x:c>
      <x:c r="E252" s="7" t="n">
        <x:v>0</x:v>
      </x:c>
      <x:c r="F252" s="7" t="n">
        <x:v>0</x:v>
      </x:c>
      <x:c r="G252" s="7" t="n">
        <x:v>0</x:v>
      </x:c>
      <x:c r="H252" s="7" t="str">
        <x:v>not_verified_at_property_level</x:v>
      </x:c>
      <x:c r="I252" s="7" t="str">
        <x:v>Not verified</x:v>
      </x:c>
      <x:c r="J252" s="7" t="str"/>
      <x:c r="K252" s="7" t="str"/>
    </x:row>
    <x:row r="253" ht="23" customHeight="1">
      <x:c r="A253" s="8" t="str">
        <x:v>1332</x:v>
      </x:c>
      <x:c r="B253" s="8" t="str">
        <x:v>Ross Island Natural Area</x:v>
      </x:c>
      <x:c r="C253" s="8" t="str">
        <x:v>natural-area</x:v>
      </x:c>
      <x:c r="D253" s="8" t="str">
        <x:v>public</x:v>
      </x:c>
      <x:c r="E253" s="8" t="n">
        <x:v>0</x:v>
      </x:c>
      <x:c r="F253" s="8" t="n">
        <x:v>0</x:v>
      </x:c>
      <x:c r="G253" s="8" t="n">
        <x:v>0</x:v>
      </x:c>
      <x:c r="H253" s="8" t="str">
        <x:v>not_verified_at_property_level</x:v>
      </x:c>
      <x:c r="I253" s="8" t="str">
        <x:v>Not verified</x:v>
      </x:c>
      <x:c r="J253" s="8" t="str">
        <x:v>Ross Island is only open to the public through volunteer work parties.</x:v>
      </x:c>
      <x:c r="K253" s="8" t="str">
        <x:v>https://www.portland.gov/parks/ross-island-natural-area</x:v>
      </x:c>
    </x:row>
    <x:row r="254" ht="23" customHeight="1">
      <x:c r="A254" s="7" t="str">
        <x:v>915</x:v>
      </x:c>
      <x:c r="B254" s="7" t="str">
        <x:v>Ross, Vernon Veterans Memorial</x:v>
      </x:c>
      <x:c r="C254" s="7" t="str">
        <x:v>plaza-memorial</x:v>
      </x:c>
      <x:c r="D254" s="7" t="str">
        <x:v>unverified</x:v>
      </x:c>
      <x:c r="E254" s="7" t="n">
        <x:v>0</x:v>
      </x:c>
      <x:c r="F254" s="7" t="n">
        <x:v>0</x:v>
      </x:c>
      <x:c r="G254" s="7" t="n">
        <x:v>0</x:v>
      </x:c>
      <x:c r="H254" s="7" t="str">
        <x:v>not_verified_at_property_level</x:v>
      </x:c>
      <x:c r="I254" s="7" t="str">
        <x:v>Not verified</x:v>
      </x:c>
      <x:c r="J254" s="7" t="str"/>
      <x:c r="K254" s="7" t="str"/>
    </x:row>
    <x:row r="255" ht="23" customHeight="1">
      <x:c r="A255" s="8" t="str">
        <x:v>578</x:v>
      </x:c>
      <x:c r="B255" s="8" t="str">
        <x:v>Sabin Community Garden</x:v>
      </x:c>
      <x:c r="C255" s="8" t="str">
        <x:v>community-garden</x:v>
      </x:c>
      <x:c r="D255" s="8" t="str">
        <x:v>limited</x:v>
      </x:c>
      <x:c r="E255" s="8" t="n">
        <x:v>0</x:v>
      </x:c>
      <x:c r="F255" s="8" t="n">
        <x:v>0</x:v>
      </x:c>
      <x:c r="G255" s="8" t="n">
        <x:v>0</x:v>
      </x:c>
      <x:c r="H255" s="8" t="str">
        <x:v>not_verified_at_property_level</x:v>
      </x:c>
      <x:c r="I255" s="8" t="str">
        <x:v>Not verified</x:v>
      </x:c>
      <x:c r="J255" s="8" t="str"/>
      <x:c r="K255" s="8" t="str">
        <x:v>https://www.portland.gov/parks/sabin-community-garden</x:v>
      </x:c>
    </x:row>
    <x:row r="256" ht="23" customHeight="1">
      <x:c r="A256" s="7" t="str">
        <x:v>834</x:v>
      </x:c>
      <x:c r="B256" s="7" t="str">
        <x:v>Sabin HydroPark</x:v>
      </x:c>
      <x:c r="C256" s="7" t="str">
        <x:v>developed-park</x:v>
      </x:c>
      <x:c r="D256" s="7" t="str">
        <x:v>unverified</x:v>
      </x:c>
      <x:c r="E256" s="7" t="n">
        <x:v>0</x:v>
      </x:c>
      <x:c r="F256" s="7" t="n">
        <x:v>0</x:v>
      </x:c>
      <x:c r="G256" s="7" t="n">
        <x:v>0</x:v>
      </x:c>
      <x:c r="H256" s="7" t="str">
        <x:v>not_verified_at_property_level</x:v>
      </x:c>
      <x:c r="I256" s="7" t="str">
        <x:v>Not verified</x:v>
      </x:c>
      <x:c r="J256" s="7" t="str"/>
      <x:c r="K256" s="7" t="str"/>
    </x:row>
    <x:row r="257" ht="23" customHeight="1">
      <x:c r="A257" s="8" t="str">
        <x:v>580</x:v>
      </x:c>
      <x:c r="B257" s="8" t="str">
        <x:v>Sacajawea Park</x:v>
      </x:c>
      <x:c r="C257" s="8" t="str">
        <x:v>developed-park</x:v>
      </x:c>
      <x:c r="D257" s="8" t="str">
        <x:v>public</x:v>
      </x:c>
      <x:c r="E257" s="8" t="n">
        <x:v>0</x:v>
      </x:c>
      <x:c r="F257" s="8" t="n">
        <x:v>0</x:v>
      </x:c>
      <x:c r="G257" s="8" t="n">
        <x:v>0</x:v>
      </x:c>
      <x:c r="H257" s="8" t="str">
        <x:v>not_verified_at_property_level</x:v>
      </x:c>
      <x:c r="I257" s="8" t="str">
        <x:v>Not verified</x:v>
      </x:c>
      <x:c r="J257" s="8" t="str">
        <x:v>Park hours: 5:00am-midnight</x:v>
      </x:c>
      <x:c r="K257" s="8" t="str">
        <x:v>https://www.portland.gov/parks/sacajawea-park</x:v>
      </x:c>
    </x:row>
    <x:row r="258" ht="23" customHeight="1">
      <x:c r="A258" s="7" t="str">
        <x:v>1479</x:v>
      </x:c>
      <x:c r="B258" s="7" t="str">
        <x:v>SE Division St and SE 150th Ave Property</x:v>
      </x:c>
      <x:c r="C258" s="7" t="str">
        <x:v>uncertain</x:v>
      </x:c>
      <x:c r="D258" s="7" t="str">
        <x:v>unverified</x:v>
      </x:c>
      <x:c r="E258" s="7" t="n">
        <x:v>0</x:v>
      </x:c>
      <x:c r="F258" s="7" t="n">
        <x:v>0</x:v>
      </x:c>
      <x:c r="G258" s="7" t="n">
        <x:v>0</x:v>
      </x:c>
      <x:c r="H258" s="7" t="str">
        <x:v>not_verified_at_property_level</x:v>
      </x:c>
      <x:c r="I258" s="7" t="str">
        <x:v>Not verified</x:v>
      </x:c>
      <x:c r="J258" s="7" t="str"/>
      <x:c r="K258" s="7" t="str"/>
    </x:row>
    <x:row r="259" ht="23" customHeight="1">
      <x:c r="A259" s="8" t="str">
        <x:v>663</x:v>
      </x:c>
      <x:c r="B259" s="8" t="str">
        <x:v>Sellwood Community Center</x:v>
      </x:c>
      <x:c r="C259" s="8" t="str">
        <x:v>facility-site</x:v>
      </x:c>
      <x:c r="D259" s="8" t="str">
        <x:v>limited</x:v>
      </x:c>
      <x:c r="E259" s="8" t="n">
        <x:v>0</x:v>
      </x:c>
      <x:c r="F259" s="8" t="n">
        <x:v>0</x:v>
      </x:c>
      <x:c r="G259" s="8" t="n">
        <x:v>0</x:v>
      </x:c>
      <x:c r="H259" s="8" t="str">
        <x:v>not_verified_at_property_level</x:v>
      </x:c>
      <x:c r="I259" s="8" t="str">
        <x:v>Not verified</x:v>
      </x:c>
      <x:c r="J259" s="8" t="str"/>
      <x:c r="K259" s="8" t="str">
        <x:v>https://www.portland.gov/parks/sellwood-community-center</x:v>
      </x:c>
    </x:row>
    <x:row r="260" ht="23" customHeight="1">
      <x:c r="A260" s="7" t="str">
        <x:v>1230</x:v>
      </x:c>
      <x:c r="B260" s="7" t="str">
        <x:v>Sellwood Community Garden</x:v>
      </x:c>
      <x:c r="C260" s="7" t="str">
        <x:v>community-garden</x:v>
      </x:c>
      <x:c r="D260" s="7" t="str">
        <x:v>limited</x:v>
      </x:c>
      <x:c r="E260" s="7" t="n">
        <x:v>0</x:v>
      </x:c>
      <x:c r="F260" s="7" t="n">
        <x:v>0</x:v>
      </x:c>
      <x:c r="G260" s="7" t="n">
        <x:v>0</x:v>
      </x:c>
      <x:c r="H260" s="7" t="str">
        <x:v>not_verified_at_property_level</x:v>
      </x:c>
      <x:c r="I260" s="7" t="str">
        <x:v>Not verified</x:v>
      </x:c>
      <x:c r="J260" s="7" t="str"/>
      <x:c r="K260" s="7" t="str">
        <x:v>https://www.portland.gov/parks/sellwood-community-garden</x:v>
      </x:c>
    </x:row>
    <x:row r="261" ht="23" customHeight="1">
      <x:c r="A261" s="8" t="str">
        <x:v>666</x:v>
      </x:c>
      <x:c r="B261" s="8" t="str">
        <x:v>Sellwood Park</x:v>
      </x:c>
      <x:c r="C261" s="8" t="str">
        <x:v>developed-park</x:v>
      </x:c>
      <x:c r="D261" s="8" t="str">
        <x:v>public</x:v>
      </x:c>
      <x:c r="E261" s="8" t="n">
        <x:v>0</x:v>
      </x:c>
      <x:c r="F261" s="8" t="n">
        <x:v>9</x:v>
      </x:c>
      <x:c r="G261" s="8" t="n">
        <x:v>8</x:v>
      </x:c>
      <x:c r="H261" s="8" t="str">
        <x:v>not_verified_at_property_level</x:v>
      </x:c>
      <x:c r="I261" s="8" t="str">
        <x:v>Not verified</x:v>
      </x:c>
      <x:c r="J261" s="8" t="str">
        <x:v>Park hours: 5:00am-midnight. Parking lot closed at 10:00pm. To reserve a sports field or picnic area, call 503-823-2525. This park is funded through a partnership between Portland Parks &amp; Recreation and Columbia Sportswear, Inc.</x:v>
      </x:c>
      <x:c r="K261" s="8" t="str">
        <x:v>https://www.portland.gov/parks/sellwood-park</x:v>
      </x:c>
    </x:row>
    <x:row r="262" ht="23" customHeight="1">
      <x:c r="A262" s="7" t="str">
        <x:v>668</x:v>
      </x:c>
      <x:c r="B262" s="7" t="str">
        <x:v>Sellwood Riverfront Park</x:v>
      </x:c>
      <x:c r="C262" s="7" t="str">
        <x:v>developed-park</x:v>
      </x:c>
      <x:c r="D262" s="7" t="str">
        <x:v>public</x:v>
      </x:c>
      <x:c r="E262" s="7" t="n">
        <x:v>0</x:v>
      </x:c>
      <x:c r="F262" s="7" t="n">
        <x:v>0</x:v>
      </x:c>
      <x:c r="G262" s="7" t="n">
        <x:v>0</x:v>
      </x:c>
      <x:c r="H262" s="7" t="str">
        <x:v>not_verified_at_property_level</x:v>
      </x:c>
      <x:c r="I262" s="7" t="str">
        <x:v>Not verified</x:v>
      </x:c>
      <x:c r="J262" s="7" t="str">
        <x:v>Park hours: 5:00am-midnight.</x:v>
      </x:c>
      <x:c r="K262" s="7" t="str">
        <x:v>https://www.portland.gov/parks/sellwood-riverfront-park</x:v>
      </x:c>
    </x:row>
    <x:row r="263" ht="23" customHeight="1">
      <x:c r="A263" s="8" t="str">
        <x:v>1224</x:v>
      </x:c>
      <x:c r="B263" s="8" t="str">
        <x:v>Senns Dairy Park</x:v>
      </x:c>
      <x:c r="C263" s="8" t="str">
        <x:v>developed-park</x:v>
      </x:c>
      <x:c r="D263" s="8" t="str">
        <x:v>public</x:v>
      </x:c>
      <x:c r="E263" s="8" t="n">
        <x:v>0</x:v>
      </x:c>
      <x:c r="F263" s="8" t="n">
        <x:v>0</x:v>
      </x:c>
      <x:c r="G263" s="8" t="n">
        <x:v>0</x:v>
      </x:c>
      <x:c r="H263" s="8" t="str">
        <x:v>not_verified_at_property_level</x:v>
      </x:c>
      <x:c r="I263" s="8" t="str">
        <x:v>Not verified</x:v>
      </x:c>
      <x:c r="J263" s="8" t="str">
        <x:v>Park hours: 5:00am-midnight</x:v>
      </x:c>
      <x:c r="K263" s="8" t="str">
        <x:v>https://www.portland.gov/parks/senns-dairy-park</x:v>
      </x:c>
    </x:row>
    <x:row r="264" ht="23" customHeight="1">
      <x:c r="A264" s="7" t="str">
        <x:v>670</x:v>
      </x:c>
      <x:c r="B264" s="7" t="str">
        <x:v>Sewallcrest Park</x:v>
      </x:c>
      <x:c r="C264" s="7" t="str">
        <x:v>developed-park</x:v>
      </x:c>
      <x:c r="D264" s="7" t="str">
        <x:v>public</x:v>
      </x:c>
      <x:c r="E264" s="7" t="n">
        <x:v>0</x:v>
      </x:c>
      <x:c r="F264" s="7" t="n">
        <x:v>0</x:v>
      </x:c>
      <x:c r="G264" s="7" t="n">
        <x:v>0</x:v>
      </x:c>
      <x:c r="H264" s="7" t="str">
        <x:v>not_verified_at_property_level</x:v>
      </x:c>
      <x:c r="I264" s="7" t="str">
        <x:v>Not verified</x:v>
      </x:c>
      <x:c r="J264" s="7" t="str">
        <x:v>Park hours: 5:00am-midnight To reserve a sports field, call 503-823-2525.</x:v>
      </x:c>
      <x:c r="K264" s="7" t="str">
        <x:v>https://www.portland.gov/parks/sewallcrest-park</x:v>
      </x:c>
    </x:row>
    <x:row r="265" ht="23" customHeight="1">
      <x:c r="A265" s="8" t="str">
        <x:v>1335</x:v>
      </x:c>
      <x:c r="B265" s="8" t="str">
        <x:v>Simon and Helen Director Park</x:v>
      </x:c>
      <x:c r="C265" s="8" t="str">
        <x:v>developed-park</x:v>
      </x:c>
      <x:c r="D265" s="8" t="str">
        <x:v>unverified</x:v>
      </x:c>
      <x:c r="E265" s="8" t="n">
        <x:v>0</x:v>
      </x:c>
      <x:c r="F265" s="8" t="n">
        <x:v>0</x:v>
      </x:c>
      <x:c r="G265" s="8" t="n">
        <x:v>0</x:v>
      </x:c>
      <x:c r="H265" s="8" t="str">
        <x:v>not_verified_at_property_level</x:v>
      </x:c>
      <x:c r="I265" s="8" t="str">
        <x:v>Not verified</x:v>
      </x:c>
      <x:c r="J265" s="8" t="str"/>
      <x:c r="K265" s="8" t="str"/>
    </x:row>
    <x:row r="266" ht="23" customHeight="1">
      <x:c r="A266" s="7" t="str">
        <x:v>674</x:v>
      </x:c>
      <x:c r="B266" s="7" t="str">
        <x:v>South Park Blocks</x:v>
      </x:c>
      <x:c r="C266" s="7" t="str">
        <x:v>developed-park</x:v>
      </x:c>
      <x:c r="D266" s="7" t="str">
        <x:v>public</x:v>
      </x:c>
      <x:c r="E266" s="7" t="n">
        <x:v>0</x:v>
      </x:c>
      <x:c r="F266" s="7" t="n">
        <x:v>0</x:v>
      </x:c>
      <x:c r="G266" s="7" t="n">
        <x:v>0</x:v>
      </x:c>
      <x:c r="H266" s="7" t="str">
        <x:v>not_verified_at_property_level</x:v>
      </x:c>
      <x:c r="I266" s="7" t="str">
        <x:v>Not verified</x:v>
      </x:c>
      <x:c r="J266" s="7" t="str">
        <x:v>Park hours: 5:00am-9:00pm</x:v>
      </x:c>
      <x:c r="K266" s="7" t="str">
        <x:v>https://www.portland.gov/parks/south-park-blocks</x:v>
      </x:c>
    </x:row>
    <x:row r="267" ht="23" customHeight="1">
      <x:c r="A267" s="8" t="str">
        <x:v>1411</x:v>
      </x:c>
      <x:c r="B267" s="8" t="str">
        <x:v>South Waterfront Greenway Central District</x:v>
      </x:c>
      <x:c r="C267" s="8" t="str">
        <x:v>corridor</x:v>
      </x:c>
      <x:c r="D267" s="8" t="str">
        <x:v>unverified</x:v>
      </x:c>
      <x:c r="E267" s="8" t="n">
        <x:v>0</x:v>
      </x:c>
      <x:c r="F267" s="8" t="n">
        <x:v>0</x:v>
      </x:c>
      <x:c r="G267" s="8" t="n">
        <x:v>0</x:v>
      </x:c>
      <x:c r="H267" s="8" t="str">
        <x:v>not_verified_at_property_level</x:v>
      </x:c>
      <x:c r="I267" s="8" t="str">
        <x:v>Not verified</x:v>
      </x:c>
      <x:c r="J267" s="8" t="str"/>
      <x:c r="K267" s="8" t="str"/>
    </x:row>
    <x:row r="268" ht="23" customHeight="1">
      <x:c r="A268" s="7" t="str">
        <x:v>916</x:v>
      </x:c>
      <x:c r="B268" s="7" t="str">
        <x:v>South Waterfront Park</x:v>
      </x:c>
      <x:c r="C268" s="7" t="str">
        <x:v>developed-park</x:v>
      </x:c>
      <x:c r="D268" s="7" t="str">
        <x:v>public</x:v>
      </x:c>
      <x:c r="E268" s="7" t="n">
        <x:v>0</x:v>
      </x:c>
      <x:c r="F268" s="7" t="n">
        <x:v>0</x:v>
      </x:c>
      <x:c r="G268" s="7" t="n">
        <x:v>0</x:v>
      </x:c>
      <x:c r="H268" s="7" t="str">
        <x:v>not_verified_at_property_level</x:v>
      </x:c>
      <x:c r="I268" s="7" t="str">
        <x:v>Not verified</x:v>
      </x:c>
      <x:c r="J268" s="7" t="str">
        <x:v>5am to midnight</x:v>
      </x:c>
      <x:c r="K268" s="7" t="str">
        <x:v>https://www.portland.gov/parks/south-waterfront-park</x:v>
      </x:c>
    </x:row>
    <x:row r="269" ht="23" customHeight="1">
      <x:c r="A269" s="8" t="str">
        <x:v>678</x:v>
      </x:c>
      <x:c r="B269" s="8" t="str">
        <x:v>Spring Garden Park</x:v>
      </x:c>
      <x:c r="C269" s="8" t="str">
        <x:v>developed-park</x:v>
      </x:c>
      <x:c r="D269" s="8" t="str">
        <x:v>public</x:v>
      </x:c>
      <x:c r="E269" s="8" t="n">
        <x:v>0</x:v>
      </x:c>
      <x:c r="F269" s="8" t="n">
        <x:v>1</x:v>
      </x:c>
      <x:c r="G269" s="8" t="n">
        <x:v>1</x:v>
      </x:c>
      <x:c r="H269" s="8" t="str">
        <x:v>not_verified_at_property_level</x:v>
      </x:c>
      <x:c r="I269" s="8" t="str">
        <x:v>Not verified</x:v>
      </x:c>
      <x:c r="J269" s="8" t="str">
        <x:v>Park hours: 5:00am-midnight</x:v>
      </x:c>
      <x:c r="K269" s="8" t="str">
        <x:v>https://www.portland.gov/parks/spring-garden-park</x:v>
      </x:c>
    </x:row>
    <x:row r="270" ht="23" customHeight="1">
      <x:c r="A270" s="7" t="str">
        <x:v>679</x:v>
      </x:c>
      <x:c r="B270" s="7" t="str">
        <x:v>Springwater Corridor</x:v>
      </x:c>
      <x:c r="C270" s="7" t="str">
        <x:v>corridor</x:v>
      </x:c>
      <x:c r="D270" s="7" t="str">
        <x:v>unverified</x:v>
      </x:c>
      <x:c r="E270" s="7" t="n">
        <x:v>0</x:v>
      </x:c>
      <x:c r="F270" s="7" t="n">
        <x:v>0</x:v>
      </x:c>
      <x:c r="G270" s="7" t="n">
        <x:v>0</x:v>
      </x:c>
      <x:c r="H270" s="7" t="str">
        <x:v>not_verified_at_property_level</x:v>
      </x:c>
      <x:c r="I270" s="7" t="str">
        <x:v>Not verified</x:v>
      </x:c>
      <x:c r="J270" s="7" t="str"/>
      <x:c r="K270" s="7" t="str">
        <x:v>https://www.portland.gov/parks/springwater-corridor</x:v>
      </x:c>
    </x:row>
    <x:row r="271" ht="23" customHeight="1">
      <x:c r="A271" s="8" t="str">
        <x:v>681</x:v>
      </x:c>
      <x:c r="B271" s="8" t="str">
        <x:v>St Johns Park</x:v>
      </x:c>
      <x:c r="C271" s="8" t="str">
        <x:v>developed-park</x:v>
      </x:c>
      <x:c r="D271" s="8" t="str">
        <x:v>public</x:v>
      </x:c>
      <x:c r="E271" s="8" t="n">
        <x:v>0</x:v>
      </x:c>
      <x:c r="F271" s="8" t="n">
        <x:v>0</x:v>
      </x:c>
      <x:c r="G271" s="8" t="n">
        <x:v>0</x:v>
      </x:c>
      <x:c r="H271" s="8" t="str">
        <x:v>not_verified_at_property_level</x:v>
      </x:c>
      <x:c r="I271" s="8" t="str">
        <x:v>Not verified</x:v>
      </x:c>
      <x:c r="J271" s="8" t="str">
        <x:v>Park hours: 5:00am-midnight To reserve a sports field, call 503-823-2525.</x:v>
      </x:c>
      <x:c r="K271" s="8" t="str">
        <x:v>https://www.portland.gov/parks/st-johns-park</x:v>
      </x:c>
    </x:row>
    <x:row r="272" ht="23" customHeight="1">
      <x:c r="A272" s="7" t="str">
        <x:v>682</x:v>
      </x:c>
      <x:c r="B272" s="7" t="str">
        <x:v>St Johns Racquet Center</x:v>
      </x:c>
      <x:c r="C272" s="7" t="str">
        <x:v>facility-site</x:v>
      </x:c>
      <x:c r="D272" s="7" t="str">
        <x:v>unverified</x:v>
      </x:c>
      <x:c r="E272" s="7" t="n">
        <x:v>0</x:v>
      </x:c>
      <x:c r="F272" s="7" t="n">
        <x:v>0</x:v>
      </x:c>
      <x:c r="G272" s="7" t="n">
        <x:v>0</x:v>
      </x:c>
      <x:c r="H272" s="7" t="str">
        <x:v>not_verified_at_property_level</x:v>
      </x:c>
      <x:c r="I272" s="7" t="str">
        <x:v>Not verified</x:v>
      </x:c>
      <x:c r="J272" s="7" t="str"/>
      <x:c r="K272" s="7" t="str"/>
    </x:row>
    <x:row r="273" ht="23" customHeight="1">
      <x:c r="A273" s="8" t="str">
        <x:v>917</x:v>
      </x:c>
      <x:c r="B273" s="8" t="str">
        <x:v>Stark Street Island</x:v>
      </x:c>
      <x:c r="C273" s="8" t="str">
        <x:v>natural-area</x:v>
      </x:c>
      <x:c r="D273" s="8" t="str">
        <x:v>unverified</x:v>
      </x:c>
      <x:c r="E273" s="8" t="n">
        <x:v>0</x:v>
      </x:c>
      <x:c r="F273" s="8" t="n">
        <x:v>0</x:v>
      </x:c>
      <x:c r="G273" s="8" t="n">
        <x:v>0</x:v>
      </x:c>
      <x:c r="H273" s="8" t="str">
        <x:v>not_verified_at_property_level</x:v>
      </x:c>
      <x:c r="I273" s="8" t="str">
        <x:v>Not verified</x:v>
      </x:c>
      <x:c r="J273" s="8" t="str"/>
      <x:c r="K273" s="8" t="str"/>
    </x:row>
    <x:row r="274" ht="23" customHeight="1">
      <x:c r="A274" s="7" t="str">
        <x:v>711</x:v>
      </x:c>
      <x:c r="B274" s="7" t="str">
        <x:v>Stephens Creek Natural Area</x:v>
      </x:c>
      <x:c r="C274" s="7" t="str">
        <x:v>natural-area</x:v>
      </x:c>
      <x:c r="D274" s="7" t="str">
        <x:v>unverified</x:v>
      </x:c>
      <x:c r="E274" s="7" t="n">
        <x:v>0</x:v>
      </x:c>
      <x:c r="F274" s="7" t="n">
        <x:v>0</x:v>
      </x:c>
      <x:c r="G274" s="7" t="n">
        <x:v>0</x:v>
      </x:c>
      <x:c r="H274" s="7" t="str">
        <x:v>not_verified_at_property_level</x:v>
      </x:c>
      <x:c r="I274" s="7" t="str">
        <x:v>Not verified</x:v>
      </x:c>
      <x:c r="J274" s="7" t="str"/>
      <x:c r="K274" s="7" t="str"/>
    </x:row>
    <x:row r="275" ht="23" customHeight="1">
      <x:c r="A275" s="8" t="str">
        <x:v>714</x:v>
      </x:c>
      <x:c r="B275" s="8" t="str">
        <x:v>Sumner-Albina Park</x:v>
      </x:c>
      <x:c r="C275" s="8" t="str">
        <x:v>developed-park</x:v>
      </x:c>
      <x:c r="D275" s="8" t="str">
        <x:v>public</x:v>
      </x:c>
      <x:c r="E275" s="8" t="n">
        <x:v>0</x:v>
      </x:c>
      <x:c r="F275" s="8" t="n">
        <x:v>0</x:v>
      </x:c>
      <x:c r="G275" s="8" t="n">
        <x:v>0</x:v>
      </x:c>
      <x:c r="H275" s="8" t="str">
        <x:v>not_verified_at_property_level</x:v>
      </x:c>
      <x:c r="I275" s="8" t="str">
        <x:v>Not verified</x:v>
      </x:c>
      <x:c r="J275" s="8" t="str">
        <x:v>Park hours: 5:00am-midnight</x:v>
      </x:c>
      <x:c r="K275" s="8" t="str">
        <x:v>https://www.portland.gov/parks/sumner-albina-park</x:v>
      </x:c>
    </x:row>
    <x:row r="276" ht="23" customHeight="1">
      <x:c r="A276" s="7" t="str">
        <x:v>715</x:v>
      </x:c>
      <x:c r="B276" s="7" t="str">
        <x:v>Sunnyside School Park</x:v>
      </x:c>
      <x:c r="C276" s="7" t="str">
        <x:v>developed-park</x:v>
      </x:c>
      <x:c r="D276" s="7" t="str">
        <x:v>public</x:v>
      </x:c>
      <x:c r="E276" s="7" t="n">
        <x:v>0</x:v>
      </x:c>
      <x:c r="F276" s="7" t="n">
        <x:v>0</x:v>
      </x:c>
      <x:c r="G276" s="7" t="n">
        <x:v>0</x:v>
      </x:c>
      <x:c r="H276" s="7" t="str">
        <x:v>not_verified_at_property_level</x:v>
      </x:c>
      <x:c r="I276" s="7" t="str">
        <x:v>Not verified</x:v>
      </x:c>
      <x:c r="J276" s="7" t="str">
        <x:v>Park hours: 5:00am-10:00pm To reserve a sports field, call 503-823-2525.</x:v>
      </x:c>
      <x:c r="K276" s="7" t="str">
        <x:v>https://www.portland.gov/parks/sunnyside-school-park</x:v>
      </x:c>
    </x:row>
    <x:row r="277" ht="23" customHeight="1">
      <x:c r="A277" s="8" t="str">
        <x:v>1197</x:v>
      </x:c>
      <x:c r="B277" s="8" t="str">
        <x:v>SW Dickinson and 62nd</x:v>
      </x:c>
      <x:c r="C277" s="8" t="str">
        <x:v>uncertain</x:v>
      </x:c>
      <x:c r="D277" s="8" t="str">
        <x:v>unverified</x:v>
      </x:c>
      <x:c r="E277" s="8" t="n">
        <x:v>0</x:v>
      </x:c>
      <x:c r="F277" s="8" t="n">
        <x:v>0</x:v>
      </x:c>
      <x:c r="G277" s="8" t="n">
        <x:v>0</x:v>
      </x:c>
      <x:c r="H277" s="8" t="str">
        <x:v>not_verified_at_property_level</x:v>
      </x:c>
      <x:c r="I277" s="8" t="str">
        <x:v>Not verified</x:v>
      </x:c>
      <x:c r="J277" s="8" t="str"/>
      <x:c r="K277" s="8" t="str"/>
    </x:row>
    <x:row r="278" ht="23" customHeight="1">
      <x:c r="A278" s="7" t="str">
        <x:v>748</x:v>
      </x:c>
      <x:c r="B278" s="7" t="str">
        <x:v>SW Hall and 14th</x:v>
      </x:c>
      <x:c r="C278" s="7" t="str">
        <x:v>uncertain</x:v>
      </x:c>
      <x:c r="D278" s="7" t="str">
        <x:v>unverified</x:v>
      </x:c>
      <x:c r="E278" s="7" t="n">
        <x:v>0</x:v>
      </x:c>
      <x:c r="F278" s="7" t="n">
        <x:v>0</x:v>
      </x:c>
      <x:c r="G278" s="7" t="n">
        <x:v>0</x:v>
      </x:c>
      <x:c r="H278" s="7" t="str">
        <x:v>not_verified_at_property_level</x:v>
      </x:c>
      <x:c r="I278" s="7" t="str">
        <x:v>Not verified</x:v>
      </x:c>
      <x:c r="J278" s="7" t="str"/>
      <x:c r="K278" s="7" t="str"/>
    </x:row>
    <x:row r="279" ht="23" customHeight="1">
      <x:c r="A279" s="8" t="str">
        <x:v>789</x:v>
      </x:c>
      <x:c r="B279" s="8" t="str">
        <x:v>SW Talbot Property</x:v>
      </x:c>
      <x:c r="C279" s="8" t="str">
        <x:v>uncertain</x:v>
      </x:c>
      <x:c r="D279" s="8" t="str">
        <x:v>unverified</x:v>
      </x:c>
      <x:c r="E279" s="8" t="n">
        <x:v>0</x:v>
      </x:c>
      <x:c r="F279" s="8" t="n">
        <x:v>0</x:v>
      </x:c>
      <x:c r="G279" s="8" t="n">
        <x:v>0</x:v>
      </x:c>
      <x:c r="H279" s="8" t="str">
        <x:v>not_verified_at_property_level</x:v>
      </x:c>
      <x:c r="I279" s="8" t="str">
        <x:v>Not verified</x:v>
      </x:c>
      <x:c r="J279" s="8" t="str"/>
      <x:c r="K279" s="8" t="str"/>
    </x:row>
    <x:row r="280" ht="23" customHeight="1">
      <x:c r="A280" s="7" t="str">
        <x:v>793</x:v>
      </x:c>
      <x:c r="B280" s="7" t="str">
        <x:v>SW Terwilliger Blvd Parkway</x:v>
      </x:c>
      <x:c r="C280" s="7" t="str">
        <x:v>developed-park</x:v>
      </x:c>
      <x:c r="D280" s="7" t="str">
        <x:v>unverified</x:v>
      </x:c>
      <x:c r="E280" s="7" t="n">
        <x:v>0</x:v>
      </x:c>
      <x:c r="F280" s="7" t="n">
        <x:v>0</x:v>
      </x:c>
      <x:c r="G280" s="7" t="n">
        <x:v>0</x:v>
      </x:c>
      <x:c r="H280" s="7" t="str">
        <x:v>not_verified_at_property_level</x:v>
      </x:c>
      <x:c r="I280" s="7" t="str">
        <x:v>Not verified</x:v>
      </x:c>
      <x:c r="J280" s="7" t="str"/>
      <x:c r="K280" s="7" t="str"/>
    </x:row>
    <x:row r="281" ht="23" customHeight="1">
      <x:c r="A281" s="8" t="str">
        <x:v>800</x:v>
      </x:c>
      <x:c r="B281" s="8" t="str">
        <x:v>SW Thomas and 53rd</x:v>
      </x:c>
      <x:c r="C281" s="8" t="str">
        <x:v>natural-area</x:v>
      </x:c>
      <x:c r="D281" s="8" t="str">
        <x:v>unverified</x:v>
      </x:c>
      <x:c r="E281" s="8" t="n">
        <x:v>0</x:v>
      </x:c>
      <x:c r="F281" s="8" t="n">
        <x:v>0</x:v>
      </x:c>
      <x:c r="G281" s="8" t="n">
        <x:v>0</x:v>
      </x:c>
      <x:c r="H281" s="8" t="str">
        <x:v>not_verified_at_property_level</x:v>
      </x:c>
      <x:c r="I281" s="8" t="str">
        <x:v>Not verified</x:v>
      </x:c>
      <x:c r="J281" s="8" t="str"/>
      <x:c r="K281" s="8" t="str"/>
    </x:row>
    <x:row r="282" ht="23" customHeight="1">
      <x:c r="A282" s="7" t="str">
        <x:v>1200</x:v>
      </x:c>
      <x:c r="B282" s="7" t="str">
        <x:v>Sylvania Park</x:v>
      </x:c>
      <x:c r="C282" s="7" t="str">
        <x:v>natural-area</x:v>
      </x:c>
      <x:c r="D282" s="7" t="str">
        <x:v>public</x:v>
      </x:c>
      <x:c r="E282" s="7" t="n">
        <x:v>0</x:v>
      </x:c>
      <x:c r="F282" s="7" t="n">
        <x:v>0</x:v>
      </x:c>
      <x:c r="G282" s="7" t="n">
        <x:v>0</x:v>
      </x:c>
      <x:c r="H282" s="7" t="str">
        <x:v>not_verified_at_property_level</x:v>
      </x:c>
      <x:c r="I282" s="7" t="str">
        <x:v>Not verified</x:v>
      </x:c>
      <x:c r="J282" s="7" t="str">
        <x:v>Park hours: 5:00am-midnight</x:v>
      </x:c>
      <x:c r="K282" s="7" t="str">
        <x:v>https://www.portland.gov/parks/sylvania-park</x:v>
      </x:c>
    </x:row>
    <x:row r="283" ht="23" customHeight="1">
      <x:c r="A283" s="8" t="str">
        <x:v>1273</x:v>
      </x:c>
      <x:c r="B283" s="8" t="str">
        <x:v>Tanner Springs Park</x:v>
      </x:c>
      <x:c r="C283" s="8" t="str">
        <x:v>developed-park</x:v>
      </x:c>
      <x:c r="D283" s="8" t="str">
        <x:v>public</x:v>
      </x:c>
      <x:c r="E283" s="8" t="n">
        <x:v>0</x:v>
      </x:c>
      <x:c r="F283" s="8" t="n">
        <x:v>0</x:v>
      </x:c>
      <x:c r="G283" s="8" t="n">
        <x:v>0</x:v>
      </x:c>
      <x:c r="H283" s="8" t="str">
        <x:v>not_verified_at_property_level</x:v>
      </x:c>
      <x:c r="I283" s="8" t="str">
        <x:v>Not verified</x:v>
      </x:c>
      <x:c r="J283" s="8" t="str">
        <x:v>Park hours: 5am to 10pm</x:v>
      </x:c>
      <x:c r="K283" s="8" t="str">
        <x:v>https://www.portland.gov/parks/tanner-springs-park</x:v>
      </x:c>
    </x:row>
    <x:row r="284" ht="23" customHeight="1">
      <x:c r="A284" s="7" t="str">
        <x:v>1267</x:v>
      </x:c>
      <x:c r="B284" s="7" t="str">
        <x:v>The Fields</x:v>
      </x:c>
      <x:c r="C284" s="7" t="str">
        <x:v>developed-park</x:v>
      </x:c>
      <x:c r="D284" s="7" t="str">
        <x:v>unverified</x:v>
      </x:c>
      <x:c r="E284" s="7" t="n">
        <x:v>0</x:v>
      </x:c>
      <x:c r="F284" s="7" t="n">
        <x:v>0</x:v>
      </x:c>
      <x:c r="G284" s="7" t="n">
        <x:v>0</x:v>
      </x:c>
      <x:c r="H284" s="7" t="str">
        <x:v>not_verified_at_property_level</x:v>
      </x:c>
      <x:c r="I284" s="7" t="str">
        <x:v>Not verified</x:v>
      </x:c>
      <x:c r="J284" s="7" t="str"/>
      <x:c r="K284" s="7" t="str"/>
    </x:row>
    <x:row r="285" ht="23" customHeight="1">
      <x:c r="A285" s="8" t="str">
        <x:v>1174</x:v>
      </x:c>
      <x:c r="B285" s="8" t="str">
        <x:v>Thomas Cully Property</x:v>
      </x:c>
      <x:c r="C285" s="8" t="str">
        <x:v>developed-park</x:v>
      </x:c>
      <x:c r="D285" s="8" t="str">
        <x:v>unverified</x:v>
      </x:c>
      <x:c r="E285" s="8" t="n">
        <x:v>0</x:v>
      </x:c>
      <x:c r="F285" s="8" t="n">
        <x:v>0</x:v>
      </x:c>
      <x:c r="G285" s="8" t="n">
        <x:v>0</x:v>
      </x:c>
      <x:c r="H285" s="8" t="str">
        <x:v>not_verified_at_property_level</x:v>
      </x:c>
      <x:c r="I285" s="8" t="str">
        <x:v>Not verified</x:v>
      </x:c>
      <x:c r="J285" s="8" t="str"/>
      <x:c r="K285" s="8" t="str"/>
    </x:row>
    <x:row r="286" ht="23" customHeight="1">
      <x:c r="A286" s="7" t="str">
        <x:v>814</x:v>
      </x:c>
      <x:c r="B286" s="7" t="str">
        <x:v>Thompson Park</x:v>
      </x:c>
      <x:c r="C286" s="7" t="str">
        <x:v>developed-park</x:v>
      </x:c>
      <x:c r="D286" s="7" t="str">
        <x:v>public</x:v>
      </x:c>
      <x:c r="E286" s="7" t="n">
        <x:v>0</x:v>
      </x:c>
      <x:c r="F286" s="7" t="n">
        <x:v>0</x:v>
      </x:c>
      <x:c r="G286" s="7" t="n">
        <x:v>0</x:v>
      </x:c>
      <x:c r="H286" s="7" t="str">
        <x:v>not_verified_at_property_level</x:v>
      </x:c>
      <x:c r="I286" s="7" t="str">
        <x:v>Not verified</x:v>
      </x:c>
      <x:c r="J286" s="7" t="str">
        <x:v>Park hours: 5:00am-midnight</x:v>
      </x:c>
      <x:c r="K286" s="7" t="str">
        <x:v>https://www.portland.gov/parks/thompson-park</x:v>
      </x:c>
    </x:row>
    <x:row r="287" ht="23" customHeight="1">
      <x:c r="A287" s="8" t="str">
        <x:v>815</x:v>
      </x:c>
      <x:c r="B287" s="8" t="str">
        <x:v>Tideman Johnson Natural Area</x:v>
      </x:c>
      <x:c r="C287" s="8" t="str">
        <x:v>natural-area</x:v>
      </x:c>
      <x:c r="D287" s="8" t="str">
        <x:v>unverified</x:v>
      </x:c>
      <x:c r="E287" s="8" t="n">
        <x:v>0</x:v>
      </x:c>
      <x:c r="F287" s="8" t="n">
        <x:v>0</x:v>
      </x:c>
      <x:c r="G287" s="8" t="n">
        <x:v>0</x:v>
      </x:c>
      <x:c r="H287" s="8" t="str">
        <x:v>not_verified_at_property_level</x:v>
      </x:c>
      <x:c r="I287" s="8" t="str">
        <x:v>Not verified</x:v>
      </x:c>
      <x:c r="J287" s="8" t="str"/>
      <x:c r="K287" s="8" t="str">
        <x:v>https://www.portland.gov/parks/tideman-johnson-natural-area</x:v>
      </x:c>
    </x:row>
    <x:row r="288" ht="23" customHeight="1">
      <x:c r="A288" s="7" t="str">
        <x:v>920</x:v>
      </x:c>
      <x:c r="B288" s="7" t="str">
        <x:v>Toe Island</x:v>
      </x:c>
      <x:c r="C288" s="7" t="str">
        <x:v>natural-area</x:v>
      </x:c>
      <x:c r="D288" s="7" t="str">
        <x:v>unverified</x:v>
      </x:c>
      <x:c r="E288" s="7" t="n">
        <x:v>0</x:v>
      </x:c>
      <x:c r="F288" s="7" t="n">
        <x:v>0</x:v>
      </x:c>
      <x:c r="G288" s="7" t="n">
        <x:v>0</x:v>
      </x:c>
      <x:c r="H288" s="7" t="str">
        <x:v>not_verified_at_property_level</x:v>
      </x:c>
      <x:c r="I288" s="7" t="str">
        <x:v>Not verified</x:v>
      </x:c>
      <x:c r="J288" s="7" t="str"/>
      <x:c r="K288" s="7" t="str"/>
    </x:row>
    <x:row r="289" ht="23" customHeight="1">
      <x:c r="A289" s="8" t="str">
        <x:v>820</x:v>
      </x:c>
      <x:c r="B289" s="8" t="str">
        <x:v>Trenton Park</x:v>
      </x:c>
      <x:c r="C289" s="8" t="str">
        <x:v>developed-park</x:v>
      </x:c>
      <x:c r="D289" s="8" t="str">
        <x:v>public</x:v>
      </x:c>
      <x:c r="E289" s="8" t="n">
        <x:v>0</x:v>
      </x:c>
      <x:c r="F289" s="8" t="n">
        <x:v>0</x:v>
      </x:c>
      <x:c r="G289" s="8" t="n">
        <x:v>0</x:v>
      </x:c>
      <x:c r="H289" s="8" t="str">
        <x:v>not_verified_at_property_level</x:v>
      </x:c>
      <x:c r="I289" s="8" t="str">
        <x:v>Not verified</x:v>
      </x:c>
      <x:c r="J289" s="8" t="str">
        <x:v>Park hours: 5:00am-midnight</x:v>
      </x:c>
      <x:c r="K289" s="8" t="str">
        <x:v>https://www.portland.gov/parks/trenton-park</x:v>
      </x:c>
    </x:row>
    <x:row r="290" ht="23" customHeight="1">
      <x:c r="A290" s="7" t="str">
        <x:v>821</x:v>
      </x:c>
      <x:c r="B290" s="7" t="str">
        <x:v>Tryon Creek Headwaters</x:v>
      </x:c>
      <x:c r="C290" s="7" t="str">
        <x:v>natural-area</x:v>
      </x:c>
      <x:c r="D290" s="7" t="str">
        <x:v>unverified</x:v>
      </x:c>
      <x:c r="E290" s="7" t="n">
        <x:v>0</x:v>
      </x:c>
      <x:c r="F290" s="7" t="n">
        <x:v>0</x:v>
      </x:c>
      <x:c r="G290" s="7" t="n">
        <x:v>0</x:v>
      </x:c>
      <x:c r="H290" s="7" t="str">
        <x:v>not_verified_at_property_level</x:v>
      </x:c>
      <x:c r="I290" s="7" t="str">
        <x:v>Not verified</x:v>
      </x:c>
      <x:c r="J290" s="7" t="str"/>
      <x:c r="K290" s="7" t="str"/>
    </x:row>
    <x:row r="291" ht="23" customHeight="1">
      <x:c r="A291" s="8" t="str">
        <x:v>1010</x:v>
      </x:c>
      <x:c r="B291" s="8" t="str">
        <x:v>Two Plum Park</x:v>
      </x:c>
      <x:c r="C291" s="8" t="str">
        <x:v>developed-park</x:v>
      </x:c>
      <x:c r="D291" s="8" t="str">
        <x:v>public</x:v>
      </x:c>
      <x:c r="E291" s="8" t="n">
        <x:v>0</x:v>
      </x:c>
      <x:c r="F291" s="8" t="n">
        <x:v>0</x:v>
      </x:c>
      <x:c r="G291" s="8" t="n">
        <x:v>0</x:v>
      </x:c>
      <x:c r="H291" s="8" t="str">
        <x:v>not_verified_at_property_level</x:v>
      </x:c>
      <x:c r="I291" s="8" t="str">
        <x:v>Not verified</x:v>
      </x:c>
      <x:c r="J291" s="8" t="str">
        <x:v>Park hours: 5:00am-midnight</x:v>
      </x:c>
      <x:c r="K291" s="8" t="str">
        <x:v>https://www.portland.gov/parks/two-plum-park</x:v>
      </x:c>
    </x:row>
    <x:row r="292" ht="23" customHeight="1">
      <x:c r="A292" s="7" t="str">
        <x:v>824</x:v>
      </x:c>
      <x:c r="B292" s="7" t="str">
        <x:v>University Park</x:v>
      </x:c>
      <x:c r="C292" s="7" t="str">
        <x:v>developed-park</x:v>
      </x:c>
      <x:c r="D292" s="7" t="str">
        <x:v>public</x:v>
      </x:c>
      <x:c r="E292" s="7" t="n">
        <x:v>0</x:v>
      </x:c>
      <x:c r="F292" s="7" t="n">
        <x:v>0</x:v>
      </x:c>
      <x:c r="G292" s="7" t="n">
        <x:v>0</x:v>
      </x:c>
      <x:c r="H292" s="7" t="str">
        <x:v>not_verified_at_property_level</x:v>
      </x:c>
      <x:c r="I292" s="7" t="str">
        <x:v>Not verified</x:v>
      </x:c>
      <x:c r="J292" s="7" t="str">
        <x:v>Park hours: 5:00am-midnight To reserve a sports field, call 503-823-2525.</x:v>
      </x:c>
      <x:c r="K292" s="7" t="str">
        <x:v>https://www.portland.gov/parks/university-park</x:v>
      </x:c>
    </x:row>
    <x:row r="293" ht="23" customHeight="1">
      <x:c r="A293" s="8" t="str">
        <x:v>832</x:v>
      </x:c>
      <x:c r="B293" s="8" t="str">
        <x:v>Ventura Park</x:v>
      </x:c>
      <x:c r="C293" s="8" t="str">
        <x:v>developed-park</x:v>
      </x:c>
      <x:c r="D293" s="8" t="str">
        <x:v>public</x:v>
      </x:c>
      <x:c r="E293" s="8" t="n">
        <x:v>0</x:v>
      </x:c>
      <x:c r="F293" s="8" t="n">
        <x:v>0</x:v>
      </x:c>
      <x:c r="G293" s="8" t="n">
        <x:v>0</x:v>
      </x:c>
      <x:c r="H293" s="8" t="str">
        <x:v>not_verified_at_property_level</x:v>
      </x:c>
      <x:c r="I293" s="8" t="str">
        <x:v>Not verified</x:v>
      </x:c>
      <x:c r="J293" s="8" t="str">
        <x:v>Park hours: 5:00am-midnight To reserve a sports field, call David Douglas District at 503-261-8399.</x:v>
      </x:c>
      <x:c r="K293" s="8" t="str">
        <x:v>https://www.portland.gov/parks/ventura-park</x:v>
      </x:c>
    </x:row>
    <x:row r="294" ht="23" customHeight="1">
      <x:c r="A294" s="7" t="str">
        <x:v>105</x:v>
      </x:c>
      <x:c r="B294" s="7" t="str">
        <x:v>Vera Katz Eastbank Esplanade</x:v>
      </x:c>
      <x:c r="C294" s="7" t="str">
        <x:v>corridor</x:v>
      </x:c>
      <x:c r="D294" s="7" t="str">
        <x:v>unverified</x:v>
      </x:c>
      <x:c r="E294" s="7" t="n">
        <x:v>0</x:v>
      </x:c>
      <x:c r="F294" s="7" t="n">
        <x:v>0</x:v>
      </x:c>
      <x:c r="G294" s="7" t="n">
        <x:v>0</x:v>
      </x:c>
      <x:c r="H294" s="7" t="str">
        <x:v>not_verified_at_property_level</x:v>
      </x:c>
      <x:c r="I294" s="7" t="str">
        <x:v>Not verified</x:v>
      </x:c>
      <x:c r="J294" s="7" t="str"/>
      <x:c r="K294" s="7" t="str"/>
    </x:row>
    <x:row r="295" ht="23" customHeight="1">
      <x:c r="A295" s="8" t="str">
        <x:v>244</x:v>
      </x:c>
      <x:c r="B295" s="8" t="str">
        <x:v>Verdell Burdine Rutherford Park</x:v>
      </x:c>
      <x:c r="C295" s="8" t="str">
        <x:v>developed-park</x:v>
      </x:c>
      <x:c r="D295" s="8" t="str">
        <x:v>public</x:v>
      </x:c>
      <x:c r="E295" s="8" t="n">
        <x:v>0</x:v>
      </x:c>
      <x:c r="F295" s="8" t="n">
        <x:v>0</x:v>
      </x:c>
      <x:c r="G295" s="8" t="n">
        <x:v>0</x:v>
      </x:c>
      <x:c r="H295" s="8" t="str">
        <x:v>not_verified_at_property_level</x:v>
      </x:c>
      <x:c r="I295" s="8" t="str">
        <x:v>Not verified</x:v>
      </x:c>
      <x:c r="J295" s="8" t="str">
        <x:v>Park hours: 5:00am-midnight</x:v>
      </x:c>
      <x:c r="K295" s="8" t="str">
        <x:v>https://www.portland.gov/parks/verdell-burdine-rutherford-park</x:v>
      </x:c>
    </x:row>
    <x:row r="296" ht="23" customHeight="1">
      <x:c r="A296" s="7" t="str">
        <x:v>833</x:v>
      </x:c>
      <x:c r="B296" s="7" t="str">
        <x:v>Vermont Hills Community Garden</x:v>
      </x:c>
      <x:c r="C296" s="7" t="str">
        <x:v>community-garden</x:v>
      </x:c>
      <x:c r="D296" s="7" t="str">
        <x:v>limited</x:v>
      </x:c>
      <x:c r="E296" s="7" t="n">
        <x:v>0</x:v>
      </x:c>
      <x:c r="F296" s="7" t="n">
        <x:v>0</x:v>
      </x:c>
      <x:c r="G296" s="7" t="n">
        <x:v>0</x:v>
      </x:c>
      <x:c r="H296" s="7" t="str">
        <x:v>not_verified_at_property_level</x:v>
      </x:c>
      <x:c r="I296" s="7" t="str">
        <x:v>Not verified</x:v>
      </x:c>
      <x:c r="J296" s="7" t="str"/>
      <x:c r="K296" s="7" t="str">
        <x:v>https://www.portland.gov/parks/vermont-hills-community-garden</x:v>
      </x:c>
    </x:row>
    <x:row r="297" ht="23" customHeight="1">
      <x:c r="A297" s="8" t="str">
        <x:v>1383</x:v>
      </x:c>
      <x:c r="B297" s="8" t="str">
        <x:v>Vestal Community Garden</x:v>
      </x:c>
      <x:c r="C297" s="8" t="str">
        <x:v>community-garden</x:v>
      </x:c>
      <x:c r="D297" s="8" t="str">
        <x:v>limited</x:v>
      </x:c>
      <x:c r="E297" s="8" t="n">
        <x:v>0</x:v>
      </x:c>
      <x:c r="F297" s="8" t="n">
        <x:v>0</x:v>
      </x:c>
      <x:c r="G297" s="8" t="n">
        <x:v>0</x:v>
      </x:c>
      <x:c r="H297" s="8" t="str">
        <x:v>not_verified_at_property_level</x:v>
      </x:c>
      <x:c r="I297" s="8" t="str">
        <x:v>Not verified</x:v>
      </x:c>
      <x:c r="J297" s="8" t="str"/>
      <x:c r="K297" s="8" t="str">
        <x:v>https://www.portland.gov/parks/vestal-community-garden</x:v>
      </x:c>
    </x:row>
    <x:row r="298" ht="23" customHeight="1">
      <x:c r="A298" s="7" t="str">
        <x:v>1407</x:v>
      </x:c>
      <x:c r="B298" s="7" t="str">
        <x:v>Veterans Creek Natural Area</x:v>
      </x:c>
      <x:c r="C298" s="7" t="str">
        <x:v>natural-area</x:v>
      </x:c>
      <x:c r="D298" s="7" t="str">
        <x:v>unverified</x:v>
      </x:c>
      <x:c r="E298" s="7" t="n">
        <x:v>0</x:v>
      </x:c>
      <x:c r="F298" s="7" t="n">
        <x:v>0</x:v>
      </x:c>
      <x:c r="G298" s="7" t="n">
        <x:v>0</x:v>
      </x:c>
      <x:c r="H298" s="7" t="str">
        <x:v>not_verified_at_property_level</x:v>
      </x:c>
      <x:c r="I298" s="7" t="str">
        <x:v>Not verified</x:v>
      </x:c>
      <x:c r="J298" s="7" t="str"/>
      <x:c r="K298" s="7" t="str"/>
    </x:row>
    <x:row r="299" ht="23" customHeight="1">
      <x:c r="A299" s="8" t="str">
        <x:v>893</x:v>
      </x:c>
      <x:c r="B299" s="8" t="str">
        <x:v>Wahoo Creek Natural Area</x:v>
      </x:c>
      <x:c r="C299" s="8" t="str">
        <x:v>natural-area</x:v>
      </x:c>
      <x:c r="D299" s="8" t="str">
        <x:v>unverified</x:v>
      </x:c>
      <x:c r="E299" s="8" t="n">
        <x:v>0</x:v>
      </x:c>
      <x:c r="F299" s="8" t="n">
        <x:v>0</x:v>
      </x:c>
      <x:c r="G299" s="8" t="n">
        <x:v>0</x:v>
      </x:c>
      <x:c r="H299" s="8" t="str">
        <x:v>not_verified_at_property_level</x:v>
      </x:c>
      <x:c r="I299" s="8" t="str">
        <x:v>Not verified</x:v>
      </x:c>
      <x:c r="J299" s="8" t="str"/>
      <x:c r="K299" s="8" t="str"/>
    </x:row>
    <x:row r="300" ht="23" customHeight="1">
      <x:c r="A300" s="7" t="str">
        <x:v>839</x:v>
      </x:c>
      <x:c r="B300" s="7" t="str">
        <x:v>Wallace Park</x:v>
      </x:c>
      <x:c r="C300" s="7" t="str">
        <x:v>developed-park</x:v>
      </x:c>
      <x:c r="D300" s="7" t="str">
        <x:v>public</x:v>
      </x:c>
      <x:c r="E300" s="7" t="n">
        <x:v>0</x:v>
      </x:c>
      <x:c r="F300" s="7" t="n">
        <x:v>1</x:v>
      </x:c>
      <x:c r="G300" s="7" t="n">
        <x:v>1</x:v>
      </x:c>
      <x:c r="H300" s="7" t="str">
        <x:v>not_verified_at_property_level</x:v>
      </x:c>
      <x:c r="I300" s="7" t="str">
        <x:v>Not verified</x:v>
      </x:c>
      <x:c r="J300" s="7" t="str">
        <x:v>Park hours: 5:00am-midnight To reserve a picnic area or sports field, call 503-823-2525. Picnic Sites and Info</x:v>
      </x:c>
      <x:c r="K300" s="7" t="str">
        <x:v>https://www.portland.gov/parks/wallace-park</x:v>
      </x:c>
    </x:row>
    <x:row r="301" ht="23" customHeight="1">
      <x:c r="A301" s="8" t="str">
        <x:v>1264</x:v>
      </x:c>
      <x:c r="B301" s="8" t="str">
        <x:v>Washington High School Property</x:v>
      </x:c>
      <x:c r="C301" s="8" t="str">
        <x:v>uncertain</x:v>
      </x:c>
      <x:c r="D301" s="8" t="str">
        <x:v>unverified</x:v>
      </x:c>
      <x:c r="E301" s="8" t="n">
        <x:v>0</x:v>
      </x:c>
      <x:c r="F301" s="8" t="n">
        <x:v>0</x:v>
      </x:c>
      <x:c r="G301" s="8" t="n">
        <x:v>0</x:v>
      </x:c>
      <x:c r="H301" s="8" t="str">
        <x:v>not_verified_at_property_level</x:v>
      </x:c>
      <x:c r="I301" s="8" t="str">
        <x:v>Not verified</x:v>
      </x:c>
      <x:c r="J301" s="8" t="str"/>
      <x:c r="K301" s="8" t="str"/>
    </x:row>
    <x:row r="302" ht="23" customHeight="1">
      <x:c r="A302" s="7" t="str">
        <x:v>841</x:v>
      </x:c>
      <x:c r="B302" s="7" t="str">
        <x:v>Washington Park</x:v>
      </x:c>
      <x:c r="C302" s="7" t="str">
        <x:v>developed-park</x:v>
      </x:c>
      <x:c r="D302" s="7" t="str">
        <x:v>public</x:v>
      </x:c>
      <x:c r="E302" s="7" t="n">
        <x:v>0</x:v>
      </x:c>
      <x:c r="F302" s="7" t="n">
        <x:v>4</x:v>
      </x:c>
      <x:c r="G302" s="7" t="n">
        <x:v>3</x:v>
      </x:c>
      <x:c r="H302" s="7" t="str">
        <x:v>not_verified_at_property_level</x:v>
      </x:c>
      <x:c r="I302" s="7" t="str">
        <x:v>Not verified</x:v>
      </x:c>
      <x:c r="J302" s="7" t="str">
        <x:v>Park hours: 5:00 am - 10:00 pm Closed to vehicles at 10:00 pm To reserve a sports field, picnic area, or amphitheater, please call 503-823-2525.</x:v>
      </x:c>
      <x:c r="K302" s="7" t="str">
        <x:v>https://www.portland.gov/parks/washington-park</x:v>
      </x:c>
    </x:row>
    <x:row r="303" ht="23" customHeight="1">
      <x:c r="A303" s="8" t="str">
        <x:v>844</x:v>
      </x:c>
      <x:c r="B303" s="8" t="str">
        <x:v>Water and Gibbs Community Garden</x:v>
      </x:c>
      <x:c r="C303" s="8" t="str">
        <x:v>community-garden</x:v>
      </x:c>
      <x:c r="D303" s="8" t="str">
        <x:v>limited</x:v>
      </x:c>
      <x:c r="E303" s="8" t="n">
        <x:v>0</x:v>
      </x:c>
      <x:c r="F303" s="8" t="n">
        <x:v>0</x:v>
      </x:c>
      <x:c r="G303" s="8" t="n">
        <x:v>0</x:v>
      </x:c>
      <x:c r="H303" s="8" t="str">
        <x:v>not_verified_at_property_level</x:v>
      </x:c>
      <x:c r="I303" s="8" t="str">
        <x:v>Not verified</x:v>
      </x:c>
      <x:c r="J303" s="8" t="str"/>
      <x:c r="K303" s="8" t="str">
        <x:v>https://www.portland.gov/parks/water-and-gibbs-community-garden</x:v>
      </x:c>
    </x:row>
    <x:row r="304" ht="23" customHeight="1">
      <x:c r="A304" s="7" t="str">
        <x:v>1412</x:v>
      </x:c>
      <x:c r="B304" s="7" t="str">
        <x:v>Waud Bluff Trail</x:v>
      </x:c>
      <x:c r="C304" s="7" t="str">
        <x:v>corridor</x:v>
      </x:c>
      <x:c r="D304" s="7" t="str">
        <x:v>unverified</x:v>
      </x:c>
      <x:c r="E304" s="7" t="n">
        <x:v>0</x:v>
      </x:c>
      <x:c r="F304" s="7" t="n">
        <x:v>0</x:v>
      </x:c>
      <x:c r="G304" s="7" t="n">
        <x:v>0</x:v>
      </x:c>
      <x:c r="H304" s="7" t="str">
        <x:v>not_verified_at_property_level</x:v>
      </x:c>
      <x:c r="I304" s="7" t="str">
        <x:v>Not verified</x:v>
      </x:c>
      <x:c r="J304" s="7" t="str"/>
      <x:c r="K304" s="7" t="str"/>
    </x:row>
    <x:row r="305" ht="23" customHeight="1">
      <x:c r="A305" s="8" t="str">
        <x:v>846</x:v>
      </x:c>
      <x:c r="B305" s="8" t="str">
        <x:v>Wellington Park</x:v>
      </x:c>
      <x:c r="C305" s="8" t="str">
        <x:v>developed-park</x:v>
      </x:c>
      <x:c r="D305" s="8" t="str">
        <x:v>public</x:v>
      </x:c>
      <x:c r="E305" s="8" t="n">
        <x:v>0</x:v>
      </x:c>
      <x:c r="F305" s="8" t="n">
        <x:v>0</x:v>
      </x:c>
      <x:c r="G305" s="8" t="n">
        <x:v>0</x:v>
      </x:c>
      <x:c r="H305" s="8" t="str">
        <x:v>not_verified_at_property_level</x:v>
      </x:c>
      <x:c r="I305" s="8" t="str">
        <x:v>Not verified</x:v>
      </x:c>
      <x:c r="J305" s="8" t="str">
        <x:v>Park hours: 5:00am-midnight To reserve a sports field, call 503-823-2525.</x:v>
      </x:c>
      <x:c r="K305" s="8" t="str">
        <x:v>https://www.portland.gov/parks/wellington-park</x:v>
      </x:c>
    </x:row>
    <x:row r="306" ht="23" customHeight="1">
      <x:c r="A306" s="7" t="str">
        <x:v>1321</x:v>
      </x:c>
      <x:c r="B306" s="7" t="str">
        <x:v>West Lents Floodplain</x:v>
      </x:c>
      <x:c r="C306" s="7" t="str">
        <x:v>natural-area</x:v>
      </x:c>
      <x:c r="D306" s="7" t="str">
        <x:v>unverified</x:v>
      </x:c>
      <x:c r="E306" s="7" t="n">
        <x:v>0</x:v>
      </x:c>
      <x:c r="F306" s="7" t="n">
        <x:v>0</x:v>
      </x:c>
      <x:c r="G306" s="7" t="n">
        <x:v>0</x:v>
      </x:c>
      <x:c r="H306" s="7" t="str">
        <x:v>not_verified_at_property_level</x:v>
      </x:c>
      <x:c r="I306" s="7" t="str">
        <x:v>Not verified</x:v>
      </x:c>
      <x:c r="J306" s="7" t="str"/>
      <x:c r="K306" s="7" t="str"/>
    </x:row>
    <x:row r="307" ht="23" customHeight="1">
      <x:c r="A307" s="8" t="str">
        <x:v>850</x:v>
      </x:c>
      <x:c r="B307" s="8" t="str">
        <x:v>West Powellhurst Park</x:v>
      </x:c>
      <x:c r="C307" s="8" t="str">
        <x:v>developed-park</x:v>
      </x:c>
      <x:c r="D307" s="8" t="str">
        <x:v>public</x:v>
      </x:c>
      <x:c r="E307" s="8" t="n">
        <x:v>0</x:v>
      </x:c>
      <x:c r="F307" s="8" t="n">
        <x:v>0</x:v>
      </x:c>
      <x:c r="G307" s="8" t="n">
        <x:v>0</x:v>
      </x:c>
      <x:c r="H307" s="8" t="str">
        <x:v>not_verified_at_property_level</x:v>
      </x:c>
      <x:c r="I307" s="8" t="str">
        <x:v>Not verified</x:v>
      </x:c>
      <x:c r="J307" s="8" t="str">
        <x:v>Park hours: 5:00am-midnight To reserve a sports field, call 503-823-2525.</x:v>
      </x:c>
      <x:c r="K307" s="8" t="str">
        <x:v>https://www.portland.gov/parks/west-powellhurst-park</x:v>
      </x:c>
    </x:row>
    <x:row r="308" ht="23" customHeight="1">
      <x:c r="A308" s="7" t="str">
        <x:v>852</x:v>
      </x:c>
      <x:c r="B308" s="7" t="str">
        <x:v>Westmoreland Park</x:v>
      </x:c>
      <x:c r="C308" s="7" t="str">
        <x:v>developed-park</x:v>
      </x:c>
      <x:c r="D308" s="7" t="str">
        <x:v>public</x:v>
      </x:c>
      <x:c r="E308" s="7" t="n">
        <x:v>0</x:v>
      </x:c>
      <x:c r="F308" s="7" t="n">
        <x:v>8</x:v>
      </x:c>
      <x:c r="G308" s="7" t="n">
        <x:v>8</x:v>
      </x:c>
      <x:c r="H308" s="7" t="str">
        <x:v>not_verified_at_property_level</x:v>
      </x:c>
      <x:c r="I308" s="7" t="str">
        <x:v>Not verified</x:v>
      </x:c>
      <x:c r="J308" s="7" t="str">
        <x:v>Park hours: 5am to midnight To reserve a picnic area, call 503-823-2525 or visit our Picnic Reservation page .</x:v>
      </x:c>
      <x:c r="K308" s="7" t="str">
        <x:v>https://www.portland.gov/parks/westmoreland-park</x:v>
      </x:c>
    </x:row>
    <x:row r="309" ht="23" customHeight="1">
      <x:c r="A309" s="8" t="str">
        <x:v>856</x:v>
      </x:c>
      <x:c r="B309" s="8" t="str">
        <x:v>Whitaker Ponds Natural Area</x:v>
      </x:c>
      <x:c r="C309" s="8" t="str">
        <x:v>natural-area</x:v>
      </x:c>
      <x:c r="D309" s="8" t="str">
        <x:v>public</x:v>
      </x:c>
      <x:c r="E309" s="8" t="n">
        <x:v>0</x:v>
      </x:c>
      <x:c r="F309" s="8" t="n">
        <x:v>0</x:v>
      </x:c>
      <x:c r="G309" s="8" t="n">
        <x:v>0</x:v>
      </x:c>
      <x:c r="H309" s="8" t="str">
        <x:v>not_verified_at_property_level</x:v>
      </x:c>
      <x:c r="I309" s="8" t="str">
        <x:v>Not verified</x:v>
      </x:c>
      <x:c r="J309" s="8" t="str">
        <x:v>Park hours: 5am to midnight</x:v>
      </x:c>
      <x:c r="K309" s="8" t="str">
        <x:v>https://www.portland.gov/parks/whitaker-ponds-natural-area</x:v>
      </x:c>
    </x:row>
    <x:row r="310" ht="23" customHeight="1">
      <x:c r="A310" s="7" t="str">
        <x:v>1414</x:v>
      </x:c>
      <x:c r="B310" s="7" t="str">
        <x:v>Wilkes Headwaters Property</x:v>
      </x:c>
      <x:c r="C310" s="7" t="str">
        <x:v>natural-area</x:v>
      </x:c>
      <x:c r="D310" s="7" t="str">
        <x:v>unverified</x:v>
      </x:c>
      <x:c r="E310" s="7" t="n">
        <x:v>0</x:v>
      </x:c>
      <x:c r="F310" s="7" t="n">
        <x:v>0</x:v>
      </x:c>
      <x:c r="G310" s="7" t="n">
        <x:v>0</x:v>
      </x:c>
      <x:c r="H310" s="7" t="str">
        <x:v>not_verified_at_property_level</x:v>
      </x:c>
      <x:c r="I310" s="7" t="str">
        <x:v>Not verified</x:v>
      </x:c>
      <x:c r="J310" s="7" t="str"/>
      <x:c r="K310" s="7" t="str"/>
    </x:row>
    <x:row r="311" ht="23" customHeight="1">
      <x:c r="A311" s="8" t="str">
        <x:v>857</x:v>
      </x:c>
      <x:c r="B311" s="8" t="str">
        <x:v>Wilkes Park</x:v>
      </x:c>
      <x:c r="C311" s="8" t="str">
        <x:v>developed-park</x:v>
      </x:c>
      <x:c r="D311" s="8" t="str">
        <x:v>public</x:v>
      </x:c>
      <x:c r="E311" s="8" t="n">
        <x:v>0</x:v>
      </x:c>
      <x:c r="F311" s="8" t="n">
        <x:v>0</x:v>
      </x:c>
      <x:c r="G311" s="8" t="n">
        <x:v>0</x:v>
      </x:c>
      <x:c r="H311" s="8" t="str">
        <x:v>not_verified_at_property_level</x:v>
      </x:c>
      <x:c r="I311" s="8" t="str">
        <x:v>Not verified</x:v>
      </x:c>
      <x:c r="J311" s="8" t="str">
        <x:v>Park hours: 5:00am-midnight</x:v>
      </x:c>
      <x:c r="K311" s="8" t="str">
        <x:v>https://www.portland.gov/parks/wilkes-park</x:v>
      </x:c>
    </x:row>
    <x:row r="312" ht="23" customHeight="1">
      <x:c r="A312" s="7" t="str">
        <x:v>921</x:v>
      </x:c>
      <x:c r="B312" s="7" t="str">
        <x:v>Willamette Moorage</x:v>
      </x:c>
      <x:c r="C312" s="7" t="str">
        <x:v>developed-park</x:v>
      </x:c>
      <x:c r="D312" s="7" t="str">
        <x:v>unverified</x:v>
      </x:c>
      <x:c r="E312" s="7" t="n">
        <x:v>0</x:v>
      </x:c>
      <x:c r="F312" s="7" t="n">
        <x:v>0</x:v>
      </x:c>
      <x:c r="G312" s="7" t="n">
        <x:v>0</x:v>
      </x:c>
      <x:c r="H312" s="7" t="str">
        <x:v>not_verified_at_property_level</x:v>
      </x:c>
      <x:c r="I312" s="7" t="str">
        <x:v>Not verified</x:v>
      </x:c>
      <x:c r="J312" s="7" t="str"/>
      <x:c r="K312" s="7" t="str"/>
    </x:row>
    <x:row r="313" ht="23" customHeight="1">
      <x:c r="A313" s="8" t="str">
        <x:v>861</x:v>
      </x:c>
      <x:c r="B313" s="8" t="str">
        <x:v>Willamette Park</x:v>
      </x:c>
      <x:c r="C313" s="8" t="str">
        <x:v>developed-park</x:v>
      </x:c>
      <x:c r="D313" s="8" t="str">
        <x:v>public</x:v>
      </x:c>
      <x:c r="E313" s="8" t="n">
        <x:v>0</x:v>
      </x:c>
      <x:c r="F313" s="8" t="n">
        <x:v>1</x:v>
      </x:c>
      <x:c r="G313" s="8" t="n">
        <x:v>1</x:v>
      </x:c>
      <x:c r="H313" s="8" t="str">
        <x:v>not_verified_at_property_level</x:v>
      </x:c>
      <x:c r="I313" s="8" t="str">
        <x:v>Not verified</x:v>
      </x:c>
      <x:c r="J313" s="8" t="str">
        <x:v>5:00am-10:00pm, Closed to vehicles at 10:00pm</x:v>
      </x:c>
      <x:c r="K313" s="8" t="str">
        <x:v>https://www.portland.gov/parks/willamette-park</x:v>
      </x:c>
    </x:row>
    <x:row r="314" ht="23" customHeight="1">
      <x:c r="A314" s="7" t="str">
        <x:v>862</x:v>
      </x:c>
      <x:c r="B314" s="7" t="str">
        <x:v>Wilshire Park</x:v>
      </x:c>
      <x:c r="C314" s="7" t="str">
        <x:v>developed-park</x:v>
      </x:c>
      <x:c r="D314" s="7" t="str">
        <x:v>public</x:v>
      </x:c>
      <x:c r="E314" s="7" t="n">
        <x:v>0</x:v>
      </x:c>
      <x:c r="F314" s="7" t="n">
        <x:v>3</x:v>
      </x:c>
      <x:c r="G314" s="7" t="n">
        <x:v>3</x:v>
      </x:c>
      <x:c r="H314" s="7" t="str">
        <x:v>not_verified_at_property_level</x:v>
      </x:c>
      <x:c r="I314" s="7" t="str">
        <x:v>Not verified</x:v>
      </x:c>
      <x:c r="J314" s="7" t="str">
        <x:v>Park hours: 5:00am-midnight To reserve a sports field or picnic area, call 503-823-2525.</x:v>
      </x:c>
      <x:c r="K314" s="7" t="str">
        <x:v>https://www.portland.gov/parks/wilshire-park</x:v>
      </x:c>
    </x:row>
    <x:row r="315" ht="23" customHeight="1">
      <x:c r="A315" s="8" t="str">
        <x:v>864</x:v>
      </x:c>
      <x:c r="B315" s="8" t="str">
        <x:v>Woodlawn Community Garden</x:v>
      </x:c>
      <x:c r="C315" s="8" t="str">
        <x:v>community-garden</x:v>
      </x:c>
      <x:c r="D315" s="8" t="str">
        <x:v>limited</x:v>
      </x:c>
      <x:c r="E315" s="8" t="n">
        <x:v>0</x:v>
      </x:c>
      <x:c r="F315" s="8" t="n">
        <x:v>0</x:v>
      </x:c>
      <x:c r="G315" s="8" t="n">
        <x:v>0</x:v>
      </x:c>
      <x:c r="H315" s="8" t="str">
        <x:v>not_verified_at_property_level</x:v>
      </x:c>
      <x:c r="I315" s="8" t="str">
        <x:v>Not verified</x:v>
      </x:c>
      <x:c r="J315" s="8" t="str"/>
      <x:c r="K315" s="8" t="str">
        <x:v>https://www.portland.gov/parks/woodlawn-community-garden</x:v>
      </x:c>
    </x:row>
    <x:row r="316" ht="23" customHeight="1">
      <x:c r="A316" s="7" t="str">
        <x:v>865</x:v>
      </x:c>
      <x:c r="B316" s="7" t="str">
        <x:v>Woodlawn Park</x:v>
      </x:c>
      <x:c r="C316" s="7" t="str">
        <x:v>developed-park</x:v>
      </x:c>
      <x:c r="D316" s="7" t="str">
        <x:v>public</x:v>
      </x:c>
      <x:c r="E316" s="7" t="n">
        <x:v>0</x:v>
      </x:c>
      <x:c r="F316" s="7" t="n">
        <x:v>0</x:v>
      </x:c>
      <x:c r="G316" s="7" t="n">
        <x:v>0</x:v>
      </x:c>
      <x:c r="H316" s="7" t="str">
        <x:v>not_verified_at_property_level</x:v>
      </x:c>
      <x:c r="I316" s="7" t="str">
        <x:v>Not verified</x:v>
      </x:c>
      <x:c r="J316" s="7" t="str">
        <x:v>Park hours: 5:00am-midnight To reserve a sports field, call 503-823-2525.</x:v>
      </x:c>
      <x:c r="K316" s="7" t="str">
        <x:v>https://www.portland.gov/parks/woodlawn-park</x:v>
      </x:c>
    </x:row>
    <x:row r="317" ht="23" customHeight="1">
      <x:c r="A317" s="8" t="str">
        <x:v>866</x:v>
      </x:c>
      <x:c r="B317" s="8" t="str">
        <x:v>Woods Memorial Natural Area</x:v>
      </x:c>
      <x:c r="C317" s="8" t="str">
        <x:v>natural-area</x:v>
      </x:c>
      <x:c r="D317" s="8" t="str">
        <x:v>unverified</x:v>
      </x:c>
      <x:c r="E317" s="8" t="n">
        <x:v>0</x:v>
      </x:c>
      <x:c r="F317" s="8" t="n">
        <x:v>0</x:v>
      </x:c>
      <x:c r="G317" s="8" t="n">
        <x:v>0</x:v>
      </x:c>
      <x:c r="H317" s="8" t="str">
        <x:v>not_verified_at_property_level</x:v>
      </x:c>
      <x:c r="I317" s="8" t="str">
        <x:v>Not verified</x:v>
      </x:c>
      <x:c r="J317" s="8" t="str"/>
      <x:c r="K317" s="8" t="str">
        <x:v>https://www.portland.gov/parks/woods-memorial-natural-area</x:v>
      </x:c>
    </x:row>
    <x:row r="318" ht="23" customHeight="1">
      <x:c r="A318" s="7" t="str">
        <x:v>867</x:v>
      </x:c>
      <x:c r="B318" s="7" t="str">
        <x:v>Woodstock Community Center</x:v>
      </x:c>
      <x:c r="C318" s="7" t="str">
        <x:v>facility-site</x:v>
      </x:c>
      <x:c r="D318" s="7" t="str">
        <x:v>limited</x:v>
      </x:c>
      <x:c r="E318" s="7" t="n">
        <x:v>95</x:v>
      </x:c>
      <x:c r="F318" s="7" t="n">
        <x:v>0</x:v>
      </x:c>
      <x:c r="G318" s="7" t="n">
        <x:v>0</x:v>
      </x:c>
      <x:c r="H318" s="7" t="str">
        <x:v>not_verified_at_property_level</x:v>
      </x:c>
      <x:c r="I318" s="7" t="str">
        <x:v>Not verified</x:v>
      </x:c>
      <x:c r="J318" s="7" t="str">
        <x:v>Monday through Friday: 8:30am to 12:30pm* Saturday and Sunday: Closed *Classes and programs may take place outside of normal business hours Building Closures September 7: Closed September 17: Closed for staff in-service</x:v>
      </x:c>
      <x:c r="K318" s="7" t="str">
        <x:v>https://www.portland.gov/parks/woodstock-community-center</x:v>
      </x:c>
    </x:row>
    <x:row r="319" ht="23" customHeight="1">
      <x:c r="A319" s="8" t="str">
        <x:v>868</x:v>
      </x:c>
      <x:c r="B319" s="8" t="str">
        <x:v>Woodstock Park</x:v>
      </x:c>
      <x:c r="C319" s="8" t="str">
        <x:v>developed-park</x:v>
      </x:c>
      <x:c r="D319" s="8" t="str">
        <x:v>public</x:v>
      </x:c>
      <x:c r="E319" s="8" t="n">
        <x:v>0</x:v>
      </x:c>
      <x:c r="F319" s="8" t="n">
        <x:v>1</x:v>
      </x:c>
      <x:c r="G319" s="8" t="n">
        <x:v>1</x:v>
      </x:c>
      <x:c r="H319" s="8" t="str">
        <x:v>not_verified_at_property_level</x:v>
      </x:c>
      <x:c r="I319" s="8" t="str">
        <x:v>Not verified</x:v>
      </x:c>
      <x:c r="J319" s="8" t="str">
        <x:v>Park hours: 5:00am-10:00pm To reserve a sports field or picnic area, call 503-823-2525. Picnic Sites &amp; Info</x:v>
      </x:c>
      <x:c r="K319" s="8" t="str">
        <x:v>https://www.portland.gov/parks/woodstock-park</x:v>
      </x:c>
    </x:row>
    <x:row r="320" ht="23" customHeight="1">
      <x:c r="A320" s="7" t="str">
        <x:v>922</x:v>
      </x:c>
      <x:c r="B320" s="7" t="str">
        <x:v>Wright Island</x:v>
      </x:c>
      <x:c r="C320" s="7" t="str">
        <x:v>natural-area</x:v>
      </x:c>
      <x:c r="D320" s="7" t="str">
        <x:v>unverified</x:v>
      </x:c>
      <x:c r="E320" s="7" t="n">
        <x:v>0</x:v>
      </x:c>
      <x:c r="F320" s="7" t="n">
        <x:v>0</x:v>
      </x:c>
      <x:c r="G320" s="7" t="n">
        <x:v>0</x:v>
      </x:c>
      <x:c r="H320" s="7" t="str">
        <x:v>not_verified_at_property_level</x:v>
      </x:c>
      <x:c r="I320" s="7" t="str">
        <x:v>Not verified</x:v>
      </x:c>
      <x:c r="J320" s="7" t="str"/>
      <x:c r="K320" s="7" t="str"/>
    </x:row>
  </x:sheetData>
  <x:mergeCells>
    <x:mergeCell ref="A2:K2"/>
  </x:mergeCells>
  <x:pageMargins left="0.7" right="0.7" top="0.75" bottom="0.75" header="0.3" footer="0.3"/>
  <x:tableParts count="1">
    <x:tablePart xmlns:r="http://schemas.openxmlformats.org/officeDocument/2006/relationships" r:id="R9ba42018b56c46ce"/>
  </x:tableParts>
</x:worksheet>
</file>

<file path=xl/worksheets/sheet10.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7" hidden="0" customWidth="1"/>
    <x:col min="2" max="2" width="62" hidden="0" customWidth="1"/>
    <x:col min="3" max="3" width="50" hidden="0" customWidth="1"/>
    <x:col min="4" max="4" width="28" hidden="0" customWidth="1"/>
    <x:col min="5" max="5" width="20" hidden="0" customWidth="1"/>
    <x:col min="6" max="6" width="17" hidden="0" customWidth="1"/>
    <x:col min="7" max="7" width="17" hidden="0" customWidth="1"/>
    <x:col min="8" max="8" width="24" hidden="0" customWidth="1"/>
    <x:col min="9" max="9" width="21" hidden="0" customWidth="1"/>
    <x:col min="10" max="10" width="20" hidden="0" customWidth="1"/>
    <x:col min="11" max="11" width="38" hidden="0" customWidth="1"/>
    <x:col min="12" max="12" width="32" hidden="0" customWidth="1"/>
    <x:col min="13" max="13" width="90" hidden="0" customWidth="1"/>
  </x:cols>
  <x:sheetData>
    <x:row r="1" ht="32" customHeight="1">
      <x:c r="A1" s="1" t="str">
        <x:v>Program snapshot</x:v>
      </x:c>
    </x:row>
    <x:row r="2" ht="42" customHeight="1">
      <x:c r="A2" s="3" t="str">
        <x:v>All 1,367 captured sections, September 2026. Enrollment is not attendance or unique people. Capacity denominators unverified; no occupancy percentages calculated.</x:v>
      </x:c>
      <x:c r="B2" s="3"/>
      <x:c r="C2" s="3"/>
      <x:c r="D2" s="3"/>
      <x:c r="E2" s="3"/>
      <x:c r="F2" s="3"/>
      <x:c r="G2" s="3"/>
      <x:c r="H2" s="3"/>
      <x:c r="I2" s="3"/>
      <x:c r="J2" s="3"/>
      <x:c r="K2" s="3"/>
      <x:c r="L2" s="3"/>
      <x:c r="M2" s="3"/>
    </x:row>
    <x:row r="4" ht="34" customHeight="1">
      <x:c r="A4" s="6" t="str">
        <x:v>Activity ID</x:v>
      </x:c>
      <x:c r="B4" s="6" t="str">
        <x:v>Name</x:v>
      </x:c>
      <x:c r="C4" s="6" t="str">
        <x:v>Venue</x:v>
      </x:c>
      <x:c r="D4" s="6" t="str">
        <x:v>Category</x:v>
      </x:c>
      <x:c r="E4" s="6" t="str">
        <x:v>Phase at capture</x:v>
      </x:c>
      <x:c r="F4" s="6" t="str">
        <x:v>Start</x:v>
      </x:c>
      <x:c r="G4" s="6" t="str">
        <x:v>End</x:v>
      </x:c>
      <x:c r="H4" s="6" t="str">
        <x:v>Enrolled registrations</x:v>
      </x:c>
      <x:c r="I4" s="6" t="str">
        <x:v>Waitlist entries</x:v>
      </x:c>
      <x:c r="J4" s="6" t="str">
        <x:v>Raw capacity</x:v>
      </x:c>
      <x:c r="K4" s="6" t="str">
        <x:v>Validation</x:v>
      </x:c>
      <x:c r="L4" s="6" t="str">
        <x:v>Captured at</x:v>
      </x:c>
      <x:c r="M4" s="6" t="str">
        <x:v>Source</x:v>
      </x:c>
    </x:row>
    <x:row r="5" ht="38" customHeight="1">
      <x:c r="A5" s="8" t="str">
        <x:v>200073</x:v>
      </x:c>
      <x:c r="B5" s="11" t="str">
        <x:v>Adaptive - Bingo Bonanza</x:v>
      </x:c>
      <x:c r="C5" s="11" t="str">
        <x:v>East Portland Community Center</x:v>
      </x:c>
      <x:c r="D5" s="11" t="str">
        <x:v>Adaptive Recreation</x:v>
      </x:c>
      <x:c r="E5" s="8" t="str">
        <x:v>active</x:v>
      </x:c>
      <x:c r="F5" s="8" t="str">
        <x:v>2026-09-03</x:v>
      </x:c>
      <x:c r="G5" s="8" t="str">
        <x:v>2026-09-24</x:v>
      </x:c>
      <x:c r="H5" s="8" t="n">
        <x:v>20</x:v>
      </x:c>
      <x:c r="I5" s="8" t="n">
        <x:v>5</x:v>
      </x:c>
      <x:c r="J5" s="8" t="n">
        <x:v>16</x:v>
      </x:c>
      <x:c r="K5" s="8" t="str">
        <x:v>unverified-denominator</x:v>
      </x:c>
      <x:c r="L5" s="8" t="d">
        <x:v>2026-09-16T05:12:38.111Z</x:v>
      </x:c>
      <x:c r="M5" s="8" t="str">
        <x:v>https://apm.activecommunities.com/portlandparks/Activity_Search/adaptive---bingo-bonanza/200073?locale=en-US</x:v>
      </x:c>
    </x:row>
    <x:row r="6" ht="38" customHeight="1">
      <x:c r="A6" s="7" t="str">
        <x:v>207601</x:v>
      </x:c>
      <x:c r="B6" s="12" t="str">
        <x:v>Adaptive - Bingo Bonanza</x:v>
      </x:c>
      <x:c r="C6" s="12" t="str">
        <x:v>East Portland Community Center</x:v>
      </x:c>
      <x:c r="D6" s="12" t="str">
        <x:v>Adaptive Recreation</x:v>
      </x:c>
      <x:c r="E6" s="7" t="str">
        <x:v>future</x:v>
      </x:c>
      <x:c r="F6" s="7" t="str">
        <x:v>2026-10-01</x:v>
      </x:c>
      <x:c r="G6" s="7" t="str">
        <x:v>2026-10-15</x:v>
      </x:c>
      <x:c r="H6" s="7" t="n">
        <x:v>16</x:v>
      </x:c>
      <x:c r="I6" s="7" t="n">
        <x:v>5</x:v>
      </x:c>
      <x:c r="J6" s="7" t="n">
        <x:v>16</x:v>
      </x:c>
      <x:c r="K6" s="7" t="str">
        <x:v>unverified-denominator</x:v>
      </x:c>
      <x:c r="L6" s="7" t="d">
        <x:v>2026-09-16T05:12:38.111Z</x:v>
      </x:c>
      <x:c r="M6" s="7" t="str">
        <x:v>https://apm.activecommunities.com/portlandparks/Activity_Search/adaptive---bingo-bonanza/207601?locale=en-US</x:v>
      </x:c>
    </x:row>
    <x:row r="7" ht="38" customHeight="1">
      <x:c r="A7" s="8" t="str">
        <x:v>207602</x:v>
      </x:c>
      <x:c r="B7" s="11" t="str">
        <x:v>Adaptive - Bingo Bonanza</x:v>
      </x:c>
      <x:c r="C7" s="11" t="str">
        <x:v>East Portland Community Center</x:v>
      </x:c>
      <x:c r="D7" s="11" t="str">
        <x:v>Adaptive Recreation</x:v>
      </x:c>
      <x:c r="E7" s="8" t="str">
        <x:v>future</x:v>
      </x:c>
      <x:c r="F7" s="8" t="str">
        <x:v>2026-11-12</x:v>
      </x:c>
      <x:c r="G7" s="8" t="str">
        <x:v>2026-12-10</x:v>
      </x:c>
      <x:c r="H7" s="8" t="n">
        <x:v>0</x:v>
      </x:c>
      <x:c r="I7" s="8"/>
      <x:c r="J7" s="8" t="n">
        <x:v>16</x:v>
      </x:c>
      <x:c r="K7" s="8" t="str">
        <x:v>unverified-denominator</x:v>
      </x:c>
      <x:c r="L7" s="8" t="d">
        <x:v>2026-09-16T05:12:38.111Z</x:v>
      </x:c>
      <x:c r="M7" s="8" t="str">
        <x:v>https://apm.activecommunities.com/portlandparks/Activity_Search/adaptive---bingo-bonanza/207602?locale=en-US</x:v>
      </x:c>
    </x:row>
    <x:row r="8" ht="38" customHeight="1">
      <x:c r="A8" s="7" t="str">
        <x:v>207303</x:v>
      </x:c>
      <x:c r="B8" s="12" t="str">
        <x:v>Adaptive - Bowling</x:v>
      </x:c>
      <x:c r="C8" s="12" t="str">
        <x:v>King Pins</x:v>
      </x:c>
      <x:c r="D8" s="12" t="str">
        <x:v>Adaptive Recreation</x:v>
      </x:c>
      <x:c r="E8" s="7" t="str">
        <x:v>future</x:v>
      </x:c>
      <x:c r="F8" s="7" t="str">
        <x:v>2026-09-30</x:v>
      </x:c>
      <x:c r="G8" s="7" t="str">
        <x:v>2026-12-09</x:v>
      </x:c>
      <x:c r="H8" s="7" t="n">
        <x:v>61</x:v>
      </x:c>
      <x:c r="I8" s="7" t="n">
        <x:v>7</x:v>
      </x:c>
      <x:c r="J8" s="7" t="n">
        <x:v>60</x:v>
      </x:c>
      <x:c r="K8" s="7" t="str">
        <x:v>unverified-denominator</x:v>
      </x:c>
      <x:c r="L8" s="7" t="d">
        <x:v>2026-09-16T05:12:38.111Z</x:v>
      </x:c>
      <x:c r="M8" s="7" t="str">
        <x:v>https://apm.activecommunities.com/portlandparks/Activity_Search/adaptive---bowling/207303?locale=en-US</x:v>
      </x:c>
    </x:row>
    <x:row r="9" ht="38" customHeight="1">
      <x:c r="A9" s="8" t="str">
        <x:v>207301</x:v>
      </x:c>
      <x:c r="B9" s="11" t="str">
        <x:v>Adaptive - Cooking Class</x:v>
      </x:c>
      <x:c r="C9" s="11" t="str">
        <x:v>Matt Dishman Community Center</x:v>
      </x:c>
      <x:c r="D9" s="11" t="str">
        <x:v>Adaptive Recreation</x:v>
      </x:c>
      <x:c r="E9" s="8" t="str">
        <x:v>future</x:v>
      </x:c>
      <x:c r="F9" s="8" t="str">
        <x:v>2026-09-29</x:v>
      </x:c>
      <x:c r="G9" s="8" t="str">
        <x:v>2026-10-27</x:v>
      </x:c>
      <x:c r="H9" s="8" t="n">
        <x:v>12</x:v>
      </x:c>
      <x:c r="I9" s="8" t="n">
        <x:v>10</x:v>
      </x:c>
      <x:c r="J9" s="8" t="n">
        <x:v>12</x:v>
      </x:c>
      <x:c r="K9" s="8" t="str">
        <x:v>unverified-denominator</x:v>
      </x:c>
      <x:c r="L9" s="8" t="d">
        <x:v>2026-09-16T05:12:38.111Z</x:v>
      </x:c>
      <x:c r="M9" s="8" t="str">
        <x:v>https://apm.activecommunities.com/portlandparks/Activity_Search/adaptive---cooking-class/207301?locale=en-US</x:v>
      </x:c>
    </x:row>
    <x:row r="10" ht="38" customHeight="1">
      <x:c r="A10" s="7" t="str">
        <x:v>207302</x:v>
      </x:c>
      <x:c r="B10" s="12" t="str">
        <x:v>Adaptive - Cooking Class</x:v>
      </x:c>
      <x:c r="C10" s="12" t="str">
        <x:v>Matt Dishman Community Center</x:v>
      </x:c>
      <x:c r="D10" s="12" t="str">
        <x:v>Adaptive Recreation</x:v>
      </x:c>
      <x:c r="E10" s="7" t="str">
        <x:v>future</x:v>
      </x:c>
      <x:c r="F10" s="7" t="str">
        <x:v>2026-11-03</x:v>
      </x:c>
      <x:c r="G10" s="7" t="str">
        <x:v>2026-12-01</x:v>
      </x:c>
      <x:c r="H10" s="7" t="n">
        <x:v>0</x:v>
      </x:c>
      <x:c r="I10" s="7"/>
      <x:c r="J10" s="7" t="n">
        <x:v>12</x:v>
      </x:c>
      <x:c r="K10" s="7" t="str">
        <x:v>unverified-denominator</x:v>
      </x:c>
      <x:c r="L10" s="7" t="d">
        <x:v>2026-09-16T05:12:38.111Z</x:v>
      </x:c>
      <x:c r="M10" s="7" t="str">
        <x:v>https://apm.activecommunities.com/portlandparks/Activity_Search/adaptive---cooking-class/207302?locale=en-US</x:v>
      </x:c>
    </x:row>
    <x:row r="11" ht="38" customHeight="1">
      <x:c r="A11" s="8" t="str">
        <x:v>199610</x:v>
      </x:c>
      <x:c r="B11" s="11" t="str">
        <x:v>Adaptive - Cooking Class</x:v>
      </x:c>
      <x:c r="C11" s="11" t="str">
        <x:v>Matt Dishman Community Center</x:v>
      </x:c>
      <x:c r="D11" s="11" t="str">
        <x:v>Adaptive Recreation</x:v>
      </x:c>
      <x:c r="E11" s="8" t="str">
        <x:v>active</x:v>
      </x:c>
      <x:c r="F11" s="8" t="str">
        <x:v>2026-09-01</x:v>
      </x:c>
      <x:c r="G11" s="8" t="str">
        <x:v>2026-09-22</x:v>
      </x:c>
      <x:c r="H11" s="8" t="n">
        <x:v>14</x:v>
      </x:c>
      <x:c r="I11" s="8" t="n">
        <x:v>5</x:v>
      </x:c>
      <x:c r="J11" s="8" t="n">
        <x:v>12</x:v>
      </x:c>
      <x:c r="K11" s="8" t="str">
        <x:v>unverified-denominator</x:v>
      </x:c>
      <x:c r="L11" s="8" t="d">
        <x:v>2026-09-16T05:12:38.111Z</x:v>
      </x:c>
      <x:c r="M11" s="8" t="str">
        <x:v>https://apm.activecommunities.com/portlandparks/Activity_Search/adaptive---cooking-class/199610?locale=en-US</x:v>
      </x:c>
    </x:row>
    <x:row r="12" ht="38" customHeight="1">
      <x:c r="A12" s="7" t="str">
        <x:v>200071</x:v>
      </x:c>
      <x:c r="B12" s="12" t="str">
        <x:v>Adaptive - Creative Art</x:v>
      </x:c>
      <x:c r="C12" s="12" t="str">
        <x:v>Mt Tabor SUN Community School MS</x:v>
      </x:c>
      <x:c r="D12" s="12" t="str">
        <x:v>Adaptive Recreation</x:v>
      </x:c>
      <x:c r="E12" s="7" t="str">
        <x:v>active</x:v>
      </x:c>
      <x:c r="F12" s="7" t="str">
        <x:v>2026-08-31</x:v>
      </x:c>
      <x:c r="G12" s="7" t="str">
        <x:v>2026-09-21</x:v>
      </x:c>
      <x:c r="H12" s="7" t="n">
        <x:v>13</x:v>
      </x:c>
      <x:c r="I12" s="7"/>
      <x:c r="J12" s="7" t="n">
        <x:v>12</x:v>
      </x:c>
      <x:c r="K12" s="7" t="str">
        <x:v>unverified-denominator</x:v>
      </x:c>
      <x:c r="L12" s="7" t="d">
        <x:v>2026-09-16T05:12:38.111Z</x:v>
      </x:c>
      <x:c r="M12" s="7" t="str">
        <x:v>https://apm.activecommunities.com/portlandparks/Activity_Search/adaptive---creative-art/200071?locale=en-US</x:v>
      </x:c>
    </x:row>
    <x:row r="13" ht="38" customHeight="1">
      <x:c r="A13" s="8" t="str">
        <x:v>207308</x:v>
      </x:c>
      <x:c r="B13" s="11" t="str">
        <x:v>Adaptive - Creative Art</x:v>
      </x:c>
      <x:c r="C13" s="11" t="str">
        <x:v>Mt Tabor SUN Community School MS</x:v>
      </x:c>
      <x:c r="D13" s="11" t="str">
        <x:v>Adaptive Recreation</x:v>
      </x:c>
      <x:c r="E13" s="8" t="str">
        <x:v>future</x:v>
      </x:c>
      <x:c r="F13" s="8" t="str">
        <x:v>2026-09-28</x:v>
      </x:c>
      <x:c r="G13" s="8" t="str">
        <x:v>2026-10-26</x:v>
      </x:c>
      <x:c r="H13" s="8" t="n">
        <x:v>12</x:v>
      </x:c>
      <x:c r="I13" s="8"/>
      <x:c r="J13" s="8" t="n">
        <x:v>12</x:v>
      </x:c>
      <x:c r="K13" s="8" t="str">
        <x:v>unverified-denominator</x:v>
      </x:c>
      <x:c r="L13" s="8" t="d">
        <x:v>2026-09-16T05:12:38.111Z</x:v>
      </x:c>
      <x:c r="M13" s="8" t="str">
        <x:v>https://apm.activecommunities.com/portlandparks/Activity_Search/adaptive---creative-art/207308?locale=en-US</x:v>
      </x:c>
    </x:row>
    <x:row r="14" ht="38" customHeight="1">
      <x:c r="A14" s="7" t="str">
        <x:v>207309</x:v>
      </x:c>
      <x:c r="B14" s="12" t="str">
        <x:v>Adaptive - Creative Art</x:v>
      </x:c>
      <x:c r="C14" s="12" t="str">
        <x:v>Mt Tabor SUN Community School MS</x:v>
      </x:c>
      <x:c r="D14" s="12" t="str">
        <x:v>Adaptive Recreation</x:v>
      </x:c>
      <x:c r="E14" s="7" t="str">
        <x:v>future</x:v>
      </x:c>
      <x:c r="F14" s="7" t="str">
        <x:v>2026-11-02</x:v>
      </x:c>
      <x:c r="G14" s="7" t="str">
        <x:v>2026-12-07</x:v>
      </x:c>
      <x:c r="H14" s="7" t="n">
        <x:v>0</x:v>
      </x:c>
      <x:c r="I14" s="7"/>
      <x:c r="J14" s="7" t="n">
        <x:v>12</x:v>
      </x:c>
      <x:c r="K14" s="7" t="str">
        <x:v>unverified-denominator</x:v>
      </x:c>
      <x:c r="L14" s="7" t="d">
        <x:v>2026-09-16T05:12:38.111Z</x:v>
      </x:c>
      <x:c r="M14" s="7" t="str">
        <x:v>https://apm.activecommunities.com/portlandparks/Activity_Search/adaptive---creative-art/207309?locale=en-US</x:v>
      </x:c>
    </x:row>
    <x:row r="15" ht="38" customHeight="1">
      <x:c r="A15" s="8" t="str">
        <x:v>208001</x:v>
      </x:c>
      <x:c r="B15" s="11" t="str">
        <x:v>Adaptive - Drum Circle</x:v>
      </x:c>
      <x:c r="C15" s="11" t="str">
        <x:v>Community Music Center</x:v>
      </x:c>
      <x:c r="D15" s="11" t="str">
        <x:v>Adaptive Recreation</x:v>
      </x:c>
      <x:c r="E15" s="8" t="str">
        <x:v>future</x:v>
      </x:c>
      <x:c r="F15" s="8" t="str">
        <x:v>2026-10-12</x:v>
      </x:c>
      <x:c r="G15" s="8" t="str">
        <x:v>2026-10-26</x:v>
      </x:c>
      <x:c r="H15" s="8" t="n">
        <x:v>12</x:v>
      </x:c>
      <x:c r="I15" s="8"/>
      <x:c r="J15" s="8" t="n">
        <x:v>12</x:v>
      </x:c>
      <x:c r="K15" s="8" t="str">
        <x:v>unverified-denominator</x:v>
      </x:c>
      <x:c r="L15" s="8" t="d">
        <x:v>2026-09-16T05:12:38.111Z</x:v>
      </x:c>
      <x:c r="M15" s="8" t="str">
        <x:v>https://apm.activecommunities.com/portlandparks/Activity_Search/adaptive---drum-circle/208001?locale=en-US</x:v>
      </x:c>
    </x:row>
    <x:row r="16" ht="38" customHeight="1">
      <x:c r="A16" s="7" t="str">
        <x:v>208002</x:v>
      </x:c>
      <x:c r="B16" s="12" t="str">
        <x:v>Adaptive - Drum Circle</x:v>
      </x:c>
      <x:c r="C16" s="12" t="str">
        <x:v>Community Music Center</x:v>
      </x:c>
      <x:c r="D16" s="12" t="str">
        <x:v>Adaptive Recreation</x:v>
      </x:c>
      <x:c r="E16" s="7" t="str">
        <x:v>future</x:v>
      </x:c>
      <x:c r="F16" s="7" t="str">
        <x:v>2026-11-02</x:v>
      </x:c>
      <x:c r="G16" s="7" t="str">
        <x:v>2026-12-07</x:v>
      </x:c>
      <x:c r="H16" s="7" t="n">
        <x:v>0</x:v>
      </x:c>
      <x:c r="I16" s="7"/>
      <x:c r="J16" s="7" t="n">
        <x:v>12</x:v>
      </x:c>
      <x:c r="K16" s="7" t="str">
        <x:v>unverified-denominator</x:v>
      </x:c>
      <x:c r="L16" s="7" t="d">
        <x:v>2026-09-16T05:12:38.111Z</x:v>
      </x:c>
      <x:c r="M16" s="7" t="str">
        <x:v>https://apm.activecommunities.com/portlandparks/Activity_Search/adaptive---drum-circle/208002?locale=en-US</x:v>
      </x:c>
    </x:row>
    <x:row r="17" ht="38" customHeight="1">
      <x:c r="A17" s="8" t="str">
        <x:v>207481</x:v>
      </x:c>
      <x:c r="B17" s="11" t="str">
        <x:v>Adaptive - Friday Night at the Movies - November</x:v>
      </x:c>
      <x:c r="C17" s="11" t="str">
        <x:v>Southwest Community Center</x:v>
      </x:c>
      <x:c r="D17" s="11" t="str">
        <x:v>Adaptive Recreation</x:v>
      </x:c>
      <x:c r="E17" s="8" t="str">
        <x:v>undated</x:v>
      </x:c>
      <x:c r="F17" s="8" t="str">
        <x:v>2026-11-20</x:v>
      </x:c>
      <x:c r="G17" s="8" t="str"/>
      <x:c r="H17" s="8" t="n">
        <x:v>0</x:v>
      </x:c>
      <x:c r="I17" s="8"/>
      <x:c r="J17" s="8" t="n">
        <x:v>20</x:v>
      </x:c>
      <x:c r="K17" s="8" t="str">
        <x:v>unverified-denominator</x:v>
      </x:c>
      <x:c r="L17" s="8" t="d">
        <x:v>2026-09-16T05:12:38.111Z</x:v>
      </x:c>
      <x:c r="M17" s="8" t="str">
        <x:v>https://apm.activecommunities.com/portlandparks/Activity_Search/adaptive---friday-night-at-the-movies---november/207481?locale=en-US</x:v>
      </x:c>
    </x:row>
    <x:row r="18" ht="38" customHeight="1">
      <x:c r="A18" s="7" t="str">
        <x:v>207480</x:v>
      </x:c>
      <x:c r="B18" s="12" t="str">
        <x:v>Adaptive - Friday Night at the Movies - October</x:v>
      </x:c>
      <x:c r="C18" s="12" t="str">
        <x:v>Southwest Community Center</x:v>
      </x:c>
      <x:c r="D18" s="12" t="str">
        <x:v>Adaptive Recreation</x:v>
      </x:c>
      <x:c r="E18" s="7" t="str">
        <x:v>undated</x:v>
      </x:c>
      <x:c r="F18" s="7" t="str">
        <x:v>2026-10-16</x:v>
      </x:c>
      <x:c r="G18" s="7" t="str"/>
      <x:c r="H18" s="7" t="n">
        <x:v>12</x:v>
      </x:c>
      <x:c r="I18" s="7"/>
      <x:c r="J18" s="7" t="n">
        <x:v>20</x:v>
      </x:c>
      <x:c r="K18" s="7" t="str">
        <x:v>unverified-denominator</x:v>
      </x:c>
      <x:c r="L18" s="7" t="d">
        <x:v>2026-09-16T05:12:38.111Z</x:v>
      </x:c>
      <x:c r="M18" s="7" t="str">
        <x:v>https://apm.activecommunities.com/portlandparks/Activity_Search/adaptive---friday-night-at-the-movies---october/207480?locale=en-US</x:v>
      </x:c>
    </x:row>
    <x:row r="19" ht="38" customHeight="1">
      <x:c r="A19" s="8" t="str">
        <x:v>207604</x:v>
      </x:c>
      <x:c r="B19" s="11" t="str">
        <x:v>Adaptive - Friday Night Dance Party - December</x:v>
      </x:c>
      <x:c r="C19" s="11" t="str">
        <x:v>Mt Scott Community Center</x:v>
      </x:c>
      <x:c r="D19" s="11" t="str">
        <x:v>Adaptive Recreation</x:v>
      </x:c>
      <x:c r="E19" s="8" t="str">
        <x:v>undated</x:v>
      </x:c>
      <x:c r="F19" s="8" t="str">
        <x:v>2026-12-04</x:v>
      </x:c>
      <x:c r="G19" s="8" t="str"/>
      <x:c r="H19" s="8" t="n">
        <x:v>0</x:v>
      </x:c>
      <x:c r="I19" s="8"/>
      <x:c r="J19" s="8" t="n">
        <x:v>40</x:v>
      </x:c>
      <x:c r="K19" s="8" t="str">
        <x:v>unverified-denominator</x:v>
      </x:c>
      <x:c r="L19" s="8" t="d">
        <x:v>2026-09-16T05:12:38.111Z</x:v>
      </x:c>
      <x:c r="M19" s="8" t="str">
        <x:v>https://apm.activecommunities.com/portlandparks/Activity_Search/adaptive---friday-night-dance-party---december/207604?locale=en-US</x:v>
      </x:c>
    </x:row>
    <x:row r="20" ht="38" customHeight="1">
      <x:c r="A20" s="7" t="str">
        <x:v>207603</x:v>
      </x:c>
      <x:c r="B20" s="12" t="str">
        <x:v>Adaptive - Friday Night Dance Party - November</x:v>
      </x:c>
      <x:c r="C20" s="12" t="str">
        <x:v>Mt Scott Community Center</x:v>
      </x:c>
      <x:c r="D20" s="12" t="str">
        <x:v>Adaptive Recreation</x:v>
      </x:c>
      <x:c r="E20" s="7" t="str">
        <x:v>undated</x:v>
      </x:c>
      <x:c r="F20" s="7" t="str">
        <x:v>2026-11-06</x:v>
      </x:c>
      <x:c r="G20" s="7" t="str"/>
      <x:c r="H20" s="7" t="n">
        <x:v>1</x:v>
      </x:c>
      <x:c r="I20" s="7"/>
      <x:c r="J20" s="7" t="n">
        <x:v>40</x:v>
      </x:c>
      <x:c r="K20" s="7" t="str">
        <x:v>unverified-denominator</x:v>
      </x:c>
      <x:c r="L20" s="7" t="d">
        <x:v>2026-09-16T05:12:38.111Z</x:v>
      </x:c>
      <x:c r="M20" s="7" t="str">
        <x:v>https://apm.activecommunities.com/portlandparks/Activity_Search/adaptive---friday-night-dance-party---november/207603?locale=en-US</x:v>
      </x:c>
    </x:row>
    <x:row r="21" ht="38" customHeight="1">
      <x:c r="A21" s="8" t="str">
        <x:v>207298</x:v>
      </x:c>
      <x:c r="B21" s="11" t="str">
        <x:v>Adaptive - Game Night</x:v>
      </x:c>
      <x:c r="C21" s="11" t="str">
        <x:v>Matt Dishman Community Center</x:v>
      </x:c>
      <x:c r="D21" s="11" t="str">
        <x:v>Adaptive Recreation</x:v>
      </x:c>
      <x:c r="E21" s="8" t="str">
        <x:v>future</x:v>
      </x:c>
      <x:c r="F21" s="8" t="str">
        <x:v>2026-09-28</x:v>
      </x:c>
      <x:c r="G21" s="8" t="str">
        <x:v>2026-10-26</x:v>
      </x:c>
      <x:c r="H21" s="8" t="n">
        <x:v>12</x:v>
      </x:c>
      <x:c r="I21" s="8"/>
      <x:c r="J21" s="8" t="n">
        <x:v>15</x:v>
      </x:c>
      <x:c r="K21" s="8" t="str">
        <x:v>unverified-denominator</x:v>
      </x:c>
      <x:c r="L21" s="8" t="d">
        <x:v>2026-09-16T05:12:38.111Z</x:v>
      </x:c>
      <x:c r="M21" s="8" t="str">
        <x:v>https://apm.activecommunities.com/portlandparks/Activity_Search/adaptive---game-night/207298?locale=en-US</x:v>
      </x:c>
    </x:row>
    <x:row r="22" ht="38" customHeight="1">
      <x:c r="A22" s="7" t="str">
        <x:v>207299</x:v>
      </x:c>
      <x:c r="B22" s="12" t="str">
        <x:v>Adaptive - Game Night</x:v>
      </x:c>
      <x:c r="C22" s="12" t="str">
        <x:v>Matt Dishman Community Center</x:v>
      </x:c>
      <x:c r="D22" s="12" t="str">
        <x:v>Adaptive Recreation</x:v>
      </x:c>
      <x:c r="E22" s="7" t="str">
        <x:v>future</x:v>
      </x:c>
      <x:c r="F22" s="7" t="str">
        <x:v>2026-11-02</x:v>
      </x:c>
      <x:c r="G22" s="7" t="str">
        <x:v>2026-12-07</x:v>
      </x:c>
      <x:c r="H22" s="7" t="n">
        <x:v>0</x:v>
      </x:c>
      <x:c r="I22" s="7"/>
      <x:c r="J22" s="7" t="n">
        <x:v>15</x:v>
      </x:c>
      <x:c r="K22" s="7" t="str">
        <x:v>unverified-denominator</x:v>
      </x:c>
      <x:c r="L22" s="7" t="d">
        <x:v>2026-09-16T05:12:38.111Z</x:v>
      </x:c>
      <x:c r="M22" s="7" t="str">
        <x:v>https://apm.activecommunities.com/portlandparks/Activity_Search/adaptive---game-night/207299?locale=en-US</x:v>
      </x:c>
    </x:row>
    <x:row r="23" ht="38" customHeight="1">
      <x:c r="A23" s="8" t="str">
        <x:v>199609</x:v>
      </x:c>
      <x:c r="B23" s="11" t="str">
        <x:v>Adaptive - Game Night</x:v>
      </x:c>
      <x:c r="C23" s="11" t="str">
        <x:v>Matt Dishman Community Center</x:v>
      </x:c>
      <x:c r="D23" s="11" t="str">
        <x:v>Adaptive Recreation</x:v>
      </x:c>
      <x:c r="E23" s="8" t="str">
        <x:v>active</x:v>
      </x:c>
      <x:c r="F23" s="8" t="str">
        <x:v>2026-08-31</x:v>
      </x:c>
      <x:c r="G23" s="8" t="str">
        <x:v>2026-09-21</x:v>
      </x:c>
      <x:c r="H23" s="8" t="n">
        <x:v>14</x:v>
      </x:c>
      <x:c r="I23" s="8"/>
      <x:c r="J23" s="8" t="n">
        <x:v>15</x:v>
      </x:c>
      <x:c r="K23" s="8" t="str">
        <x:v>unverified-denominator</x:v>
      </x:c>
      <x:c r="L23" s="8" t="d">
        <x:v>2026-09-16T05:12:38.111Z</x:v>
      </x:c>
      <x:c r="M23" s="8" t="str">
        <x:v>https://apm.activecommunities.com/portlandparks/Activity_Search/adaptive---game-night/199609?locale=en-US</x:v>
      </x:c>
    </x:row>
    <x:row r="24" ht="38" customHeight="1">
      <x:c r="A24" s="7" t="str">
        <x:v>199348</x:v>
      </x:c>
      <x:c r="B24" s="12" t="str">
        <x:v>Adaptive - Weight Room - Thursday</x:v>
      </x:c>
      <x:c r="C24" s="12" t="str">
        <x:v>East Portland Community Center</x:v>
      </x:c>
      <x:c r="D24" s="12" t="str">
        <x:v>Adaptive Recreation</x:v>
      </x:c>
      <x:c r="E24" s="7" t="str">
        <x:v>active</x:v>
      </x:c>
      <x:c r="F24" s="7" t="str">
        <x:v>2026-09-03</x:v>
      </x:c>
      <x:c r="G24" s="7" t="str">
        <x:v>2026-09-24</x:v>
      </x:c>
      <x:c r="H24" s="7" t="n">
        <x:v>15</x:v>
      </x:c>
      <x:c r="I24" s="7"/>
      <x:c r="J24" s="7" t="n">
        <x:v>20</x:v>
      </x:c>
      <x:c r="K24" s="7" t="str">
        <x:v>unverified-denominator</x:v>
      </x:c>
      <x:c r="L24" s="7" t="d">
        <x:v>2026-09-16T05:12:38.111Z</x:v>
      </x:c>
      <x:c r="M24" s="7" t="str">
        <x:v>https://apm.activecommunities.com/portlandparks/Activity_Search/adaptive---weight-room---thursday/199348?locale=en-US</x:v>
      </x:c>
    </x:row>
    <x:row r="25" ht="38" customHeight="1">
      <x:c r="A25" s="8" t="str">
        <x:v>207306</x:v>
      </x:c>
      <x:c r="B25" s="11" t="str">
        <x:v>Adaptive - Weight Room - Thursday</x:v>
      </x:c>
      <x:c r="C25" s="11" t="str">
        <x:v>East Portland Community Center</x:v>
      </x:c>
      <x:c r="D25" s="11" t="str">
        <x:v>Adaptive Recreation</x:v>
      </x:c>
      <x:c r="E25" s="8" t="str">
        <x:v>future</x:v>
      </x:c>
      <x:c r="F25" s="8" t="str">
        <x:v>2026-10-01</x:v>
      </x:c>
      <x:c r="G25" s="8" t="str">
        <x:v>2026-10-15</x:v>
      </x:c>
      <x:c r="H25" s="8" t="n">
        <x:v>8</x:v>
      </x:c>
      <x:c r="I25" s="8"/>
      <x:c r="J25" s="8" t="n">
        <x:v>20</x:v>
      </x:c>
      <x:c r="K25" s="8" t="str">
        <x:v>unverified-denominator</x:v>
      </x:c>
      <x:c r="L25" s="8" t="d">
        <x:v>2026-09-16T05:12:38.111Z</x:v>
      </x:c>
      <x:c r="M25" s="8" t="str">
        <x:v>https://apm.activecommunities.com/portlandparks/Activity_Search/adaptive---weight-room---thursday/207306?locale=en-US</x:v>
      </x:c>
    </x:row>
    <x:row r="26" ht="38" customHeight="1">
      <x:c r="A26" s="7" t="str">
        <x:v>207307</x:v>
      </x:c>
      <x:c r="B26" s="12" t="str">
        <x:v>Adaptive - Weight Room - Thursday</x:v>
      </x:c>
      <x:c r="C26" s="12" t="str">
        <x:v>East Portland Community Center</x:v>
      </x:c>
      <x:c r="D26" s="12" t="str">
        <x:v>Adaptive Recreation</x:v>
      </x:c>
      <x:c r="E26" s="7" t="str">
        <x:v>future</x:v>
      </x:c>
      <x:c r="F26" s="7" t="str">
        <x:v>2026-11-12</x:v>
      </x:c>
      <x:c r="G26" s="7" t="str">
        <x:v>2026-12-10</x:v>
      </x:c>
      <x:c r="H26" s="7" t="n">
        <x:v>0</x:v>
      </x:c>
      <x:c r="I26" s="7"/>
      <x:c r="J26" s="7" t="n">
        <x:v>20</x:v>
      </x:c>
      <x:c r="K26" s="7" t="str">
        <x:v>unverified-denominator</x:v>
      </x:c>
      <x:c r="L26" s="7" t="d">
        <x:v>2026-09-16T05:12:38.111Z</x:v>
      </x:c>
      <x:c r="M26" s="7" t="str">
        <x:v>https://apm.activecommunities.com/portlandparks/Activity_Search/adaptive---weight-room---thursday/207307?locale=en-US</x:v>
      </x:c>
    </x:row>
    <x:row r="27" ht="38" customHeight="1">
      <x:c r="A27" s="8" t="str">
        <x:v>207304</x:v>
      </x:c>
      <x:c r="B27" s="11" t="str">
        <x:v>Adaptive - Weight Room - Tuesday</x:v>
      </x:c>
      <x:c r="C27" s="11" t="str">
        <x:v>East Portland Community Center</x:v>
      </x:c>
      <x:c r="D27" s="11" t="str">
        <x:v>Adaptive Recreation</x:v>
      </x:c>
      <x:c r="E27" s="8" t="str">
        <x:v>future</x:v>
      </x:c>
      <x:c r="F27" s="8" t="str">
        <x:v>2026-09-29</x:v>
      </x:c>
      <x:c r="G27" s="8" t="str">
        <x:v>2026-10-06</x:v>
      </x:c>
      <x:c r="H27" s="8" t="n">
        <x:v>8</x:v>
      </x:c>
      <x:c r="I27" s="8"/>
      <x:c r="J27" s="8" t="n">
        <x:v>20</x:v>
      </x:c>
      <x:c r="K27" s="8" t="str">
        <x:v>unverified-denominator</x:v>
      </x:c>
      <x:c r="L27" s="8" t="d">
        <x:v>2026-09-16T05:12:38.111Z</x:v>
      </x:c>
      <x:c r="M27" s="8" t="str">
        <x:v>https://apm.activecommunities.com/portlandparks/Activity_Search/adaptive---weight-room---tuesday/207304?locale=en-US</x:v>
      </x:c>
    </x:row>
    <x:row r="28" ht="38" customHeight="1">
      <x:c r="A28" s="7" t="str">
        <x:v>207305</x:v>
      </x:c>
      <x:c r="B28" s="12" t="str">
        <x:v>Adaptive - Weight Room - Tuesday</x:v>
      </x:c>
      <x:c r="C28" s="12" t="str">
        <x:v>East Portland Community Center</x:v>
      </x:c>
      <x:c r="D28" s="12" t="str">
        <x:v>Adaptive Recreation</x:v>
      </x:c>
      <x:c r="E28" s="7" t="str">
        <x:v>future</x:v>
      </x:c>
      <x:c r="F28" s="7" t="str">
        <x:v>2026-11-03</x:v>
      </x:c>
      <x:c r="G28" s="7" t="str">
        <x:v>2026-12-01</x:v>
      </x:c>
      <x:c r="H28" s="7" t="n">
        <x:v>0</x:v>
      </x:c>
      <x:c r="I28" s="7"/>
      <x:c r="J28" s="7" t="n">
        <x:v>20</x:v>
      </x:c>
      <x:c r="K28" s="7" t="str">
        <x:v>unverified-denominator</x:v>
      </x:c>
      <x:c r="L28" s="7" t="d">
        <x:v>2026-09-16T05:12:38.111Z</x:v>
      </x:c>
      <x:c r="M28" s="7" t="str">
        <x:v>https://apm.activecommunities.com/portlandparks/Activity_Search/adaptive---weight-room---tuesday/207305?locale=en-US</x:v>
      </x:c>
    </x:row>
    <x:row r="29" ht="38" customHeight="1">
      <x:c r="A29" s="8" t="str">
        <x:v>199347</x:v>
      </x:c>
      <x:c r="B29" s="11" t="str">
        <x:v>Adaptive - Weight Room - Tuesday</x:v>
      </x:c>
      <x:c r="C29" s="11" t="str">
        <x:v>East Portland Community Center</x:v>
      </x:c>
      <x:c r="D29" s="11" t="str">
        <x:v>Adaptive Recreation</x:v>
      </x:c>
      <x:c r="E29" s="8" t="str">
        <x:v>active</x:v>
      </x:c>
      <x:c r="F29" s="8" t="str">
        <x:v>2026-09-01</x:v>
      </x:c>
      <x:c r="G29" s="8" t="str">
        <x:v>2026-09-22</x:v>
      </x:c>
      <x:c r="H29" s="8" t="n">
        <x:v>11</x:v>
      </x:c>
      <x:c r="I29" s="8"/>
      <x:c r="J29" s="8" t="n">
        <x:v>20</x:v>
      </x:c>
      <x:c r="K29" s="8" t="str">
        <x:v>unverified-denominator</x:v>
      </x:c>
      <x:c r="L29" s="8" t="d">
        <x:v>2026-09-16T05:12:38.111Z</x:v>
      </x:c>
      <x:c r="M29" s="8" t="str">
        <x:v>https://apm.activecommunities.com/portlandparks/Activity_Search/adaptive---weight-room---tuesday/199347?locale=en-US</x:v>
      </x:c>
    </x:row>
    <x:row r="30" ht="38" customHeight="1">
      <x:c r="A30" s="7" t="str">
        <x:v>200072</x:v>
      </x:c>
      <x:c r="B30" s="12" t="str">
        <x:v>Adaptive - Zumba</x:v>
      </x:c>
      <x:c r="C30" s="12" t="str">
        <x:v>Mt Tabor Middle School</x:v>
      </x:c>
      <x:c r="D30" s="12" t="str">
        <x:v>Adaptive Recreation</x:v>
      </x:c>
      <x:c r="E30" s="7" t="str">
        <x:v>active</x:v>
      </x:c>
      <x:c r="F30" s="7" t="str">
        <x:v>2026-09-01</x:v>
      </x:c>
      <x:c r="G30" s="7" t="str">
        <x:v>2026-09-22</x:v>
      </x:c>
      <x:c r="H30" s="7" t="n">
        <x:v>8</x:v>
      </x:c>
      <x:c r="I30" s="7"/>
      <x:c r="J30" s="7" t="n">
        <x:v>12</x:v>
      </x:c>
      <x:c r="K30" s="7" t="str">
        <x:v>unverified-denominator</x:v>
      </x:c>
      <x:c r="L30" s="7" t="d">
        <x:v>2026-09-16T05:12:38.111Z</x:v>
      </x:c>
      <x:c r="M30" s="7" t="str">
        <x:v>https://apm.activecommunities.com/portlandparks/Activity_Search/adaptive---zumba/200072?locale=en-US</x:v>
      </x:c>
    </x:row>
    <x:row r="31" ht="38" customHeight="1">
      <x:c r="A31" s="8" t="str">
        <x:v>207599</x:v>
      </x:c>
      <x:c r="B31" s="11" t="str">
        <x:v>Adaptive - Zumba</x:v>
      </x:c>
      <x:c r="C31" s="11" t="str">
        <x:v>Mt Tabor Middle School</x:v>
      </x:c>
      <x:c r="D31" s="11" t="str">
        <x:v>Adaptive Recreation</x:v>
      </x:c>
      <x:c r="E31" s="8" t="str">
        <x:v>future</x:v>
      </x:c>
      <x:c r="F31" s="8" t="str">
        <x:v>2026-09-28</x:v>
      </x:c>
      <x:c r="G31" s="8" t="str">
        <x:v>2026-10-26</x:v>
      </x:c>
      <x:c r="H31" s="8" t="n">
        <x:v>4</x:v>
      </x:c>
      <x:c r="I31" s="8"/>
      <x:c r="J31" s="8" t="n">
        <x:v>12</x:v>
      </x:c>
      <x:c r="K31" s="8" t="str">
        <x:v>unverified-denominator</x:v>
      </x:c>
      <x:c r="L31" s="8" t="d">
        <x:v>2026-09-16T05:12:38.111Z</x:v>
      </x:c>
      <x:c r="M31" s="8" t="str">
        <x:v>https://apm.activecommunities.com/portlandparks/Activity_Search/adaptive---zumba/207599?locale=en-US</x:v>
      </x:c>
    </x:row>
    <x:row r="32" ht="38" customHeight="1">
      <x:c r="A32" s="7" t="str">
        <x:v>207600</x:v>
      </x:c>
      <x:c r="B32" s="12" t="str">
        <x:v>Adaptive - Zumba</x:v>
      </x:c>
      <x:c r="C32" s="12" t="str">
        <x:v>Mt Tabor Middle School</x:v>
      </x:c>
      <x:c r="D32" s="12" t="str">
        <x:v>Adaptive Recreation</x:v>
      </x:c>
      <x:c r="E32" s="7" t="str">
        <x:v>future</x:v>
      </x:c>
      <x:c r="F32" s="7" t="str">
        <x:v>2026-11-02</x:v>
      </x:c>
      <x:c r="G32" s="7" t="str">
        <x:v>2026-12-07</x:v>
      </x:c>
      <x:c r="H32" s="7" t="n">
        <x:v>0</x:v>
      </x:c>
      <x:c r="I32" s="7"/>
      <x:c r="J32" s="7" t="n">
        <x:v>12</x:v>
      </x:c>
      <x:c r="K32" s="7" t="str">
        <x:v>unverified-denominator</x:v>
      </x:c>
      <x:c r="L32" s="7" t="d">
        <x:v>2026-09-16T05:12:38.111Z</x:v>
      </x:c>
      <x:c r="M32" s="7" t="str">
        <x:v>https://apm.activecommunities.com/portlandparks/Activity_Search/adaptive---zumba/207600?locale=en-US</x:v>
      </x:c>
    </x:row>
    <x:row r="33" ht="38" customHeight="1">
      <x:c r="A33" s="8" t="str">
        <x:v>208731</x:v>
      </x:c>
      <x:c r="B33" s="11" t="str">
        <x:v>Art - Dynamic Coloring</x:v>
      </x:c>
      <x:c r="C33" s="11" t="str">
        <x:v>Montavilla Cmty Ctr</x:v>
      </x:c>
      <x:c r="D33" s="11" t="str">
        <x:v>Arts &amp; Crafts - Variety</x:v>
      </x:c>
      <x:c r="E33" s="8" t="str">
        <x:v>future</x:v>
      </x:c>
      <x:c r="F33" s="8" t="str">
        <x:v>2026-10-03</x:v>
      </x:c>
      <x:c r="G33" s="8" t="str">
        <x:v>2026-10-31</x:v>
      </x:c>
      <x:c r="H33" s="8" t="n">
        <x:v>6</x:v>
      </x:c>
      <x:c r="I33" s="8"/>
      <x:c r="J33" s="8" t="n">
        <x:v>12</x:v>
      </x:c>
      <x:c r="K33" s="8" t="str">
        <x:v>unverified-denominator</x:v>
      </x:c>
      <x:c r="L33" s="8" t="d">
        <x:v>2026-09-16T05:12:38.111Z</x:v>
      </x:c>
      <x:c r="M33" s="8" t="str">
        <x:v>https://apm.activecommunities.com/portlandparks/Activity_Search/art---dynamic-coloring/208731?locale=en-US</x:v>
      </x:c>
    </x:row>
    <x:row r="34" ht="38" customHeight="1">
      <x:c r="A34" s="7" t="str">
        <x:v>208999</x:v>
      </x:c>
      <x:c r="B34" s="12" t="str">
        <x:v>Art - Extravaganza</x:v>
      </x:c>
      <x:c r="C34" s="12" t="str">
        <x:v>Mt Scott Cmty Ctr</x:v>
      </x:c>
      <x:c r="D34" s="12" t="str">
        <x:v>Arts</x:v>
      </x:c>
      <x:c r="E34" s="7" t="str">
        <x:v>future</x:v>
      </x:c>
      <x:c r="F34" s="7" t="str">
        <x:v>2026-10-11</x:v>
      </x:c>
      <x:c r="G34" s="7" t="str">
        <x:v>2026-11-01</x:v>
      </x:c>
      <x:c r="H34" s="7" t="n">
        <x:v>10</x:v>
      </x:c>
      <x:c r="I34" s="7"/>
      <x:c r="J34" s="7" t="n">
        <x:v>12</x:v>
      </x:c>
      <x:c r="K34" s="7" t="str">
        <x:v>unverified-denominator</x:v>
      </x:c>
      <x:c r="L34" s="7" t="d">
        <x:v>2026-09-16T05:12:38.111Z</x:v>
      </x:c>
      <x:c r="M34" s="7" t="str">
        <x:v>https://apm.activecommunities.com/portlandparks/Activity_Search/art---extravaganza/208999?locale=en-US</x:v>
      </x:c>
    </x:row>
    <x:row r="35" ht="38" customHeight="1">
      <x:c r="A35" s="8" t="str">
        <x:v>209000</x:v>
      </x:c>
      <x:c r="B35" s="11" t="str">
        <x:v>Art - Extravaganza - Abstract Animals</x:v>
      </x:c>
      <x:c r="C35" s="11" t="str">
        <x:v>Mt Scott Cmty Ctr</x:v>
      </x:c>
      <x:c r="D35" s="11" t="str">
        <x:v>Arts</x:v>
      </x:c>
      <x:c r="E35" s="8" t="str">
        <x:v>future</x:v>
      </x:c>
      <x:c r="F35" s="8" t="str">
        <x:v>2026-11-08</x:v>
      </x:c>
      <x:c r="G35" s="8" t="str">
        <x:v>2026-12-13</x:v>
      </x:c>
      <x:c r="H35" s="8" t="n">
        <x:v>0</x:v>
      </x:c>
      <x:c r="I35" s="8"/>
      <x:c r="J35" s="8" t="n">
        <x:v>12</x:v>
      </x:c>
      <x:c r="K35" s="8" t="str">
        <x:v>unverified-denominator</x:v>
      </x:c>
      <x:c r="L35" s="8" t="d">
        <x:v>2026-09-16T05:12:38.111Z</x:v>
      </x:c>
      <x:c r="M35" s="8" t="str">
        <x:v>https://apm.activecommunities.com/portlandparks/Activity_Search/art---extravaganza---abstract-animals/209000?locale=en-US</x:v>
      </x:c>
    </x:row>
    <x:row r="36" ht="38" customHeight="1">
      <x:c r="A36" s="7" t="str">
        <x:v>204334</x:v>
      </x:c>
      <x:c r="B36" s="12" t="str">
        <x:v>Art - Lotions, Potions &amp; Slime!</x:v>
      </x:c>
      <x:c r="C36" s="12" t="str">
        <x:v>Montavilla Cmty Ctr</x:v>
      </x:c>
      <x:c r="D36" s="12" t="str">
        <x:v>Science &amp; Nature</x:v>
      </x:c>
      <x:c r="E36" s="7" t="str">
        <x:v>active</x:v>
      </x:c>
      <x:c r="F36" s="7" t="str">
        <x:v>2026-09-05</x:v>
      </x:c>
      <x:c r="G36" s="7" t="str">
        <x:v>2026-09-26</x:v>
      </x:c>
      <x:c r="H36" s="7" t="n">
        <x:v>12</x:v>
      </x:c>
      <x:c r="I36" s="7"/>
      <x:c r="J36" s="7" t="n">
        <x:v>12</x:v>
      </x:c>
      <x:c r="K36" s="7" t="str">
        <x:v>unverified-denominator</x:v>
      </x:c>
      <x:c r="L36" s="7" t="d">
        <x:v>2026-09-16T05:12:38.111Z</x:v>
      </x:c>
      <x:c r="M36" s="7" t="str">
        <x:v>https://apm.activecommunities.com/portlandparks/Activity_Search/art---lotions-potions-slime/204334?locale=en-US</x:v>
      </x:c>
    </x:row>
    <x:row r="37" ht="38" customHeight="1">
      <x:c r="A37" s="8" t="str">
        <x:v>207925</x:v>
      </x:c>
      <x:c r="B37" s="11" t="str">
        <x:v>Art - Lotions, Potions &amp; Slime!</x:v>
      </x:c>
      <x:c r="C37" s="11" t="str">
        <x:v>Montavilla Cmty Ctr</x:v>
      </x:c>
      <x:c r="D37" s="11" t="str">
        <x:v>Science &amp; Nature</x:v>
      </x:c>
      <x:c r="E37" s="8" t="str">
        <x:v>future</x:v>
      </x:c>
      <x:c r="F37" s="8" t="str">
        <x:v>2026-10-03</x:v>
      </x:c>
      <x:c r="G37" s="8" t="str">
        <x:v>2026-10-31</x:v>
      </x:c>
      <x:c r="H37" s="8" t="n">
        <x:v>8</x:v>
      </x:c>
      <x:c r="I37" s="8"/>
      <x:c r="J37" s="8" t="n">
        <x:v>12</x:v>
      </x:c>
      <x:c r="K37" s="8" t="str">
        <x:v>unverified-denominator</x:v>
      </x:c>
      <x:c r="L37" s="8" t="d">
        <x:v>2026-09-16T05:12:38.111Z</x:v>
      </x:c>
      <x:c r="M37" s="8" t="str">
        <x:v>https://apm.activecommunities.com/portlandparks/Activity_Search/art---lotions-potions-slime/207925?locale=en-US</x:v>
      </x:c>
    </x:row>
    <x:row r="38" ht="38" customHeight="1">
      <x:c r="A38" s="7" t="str">
        <x:v>207928</x:v>
      </x:c>
      <x:c r="B38" s="12" t="str">
        <x:v>Art - Lotions, Potions &amp; Slime!</x:v>
      </x:c>
      <x:c r="C38" s="12" t="str">
        <x:v>Montavilla Cmty Ctr</x:v>
      </x:c>
      <x:c r="D38" s="12" t="str">
        <x:v>Science &amp; Nature</x:v>
      </x:c>
      <x:c r="E38" s="7" t="str">
        <x:v>future</x:v>
      </x:c>
      <x:c r="F38" s="7" t="str">
        <x:v>2026-11-07</x:v>
      </x:c>
      <x:c r="G38" s="7" t="str">
        <x:v>2026-12-12</x:v>
      </x:c>
      <x:c r="H38" s="7" t="n">
        <x:v>0</x:v>
      </x:c>
      <x:c r="I38" s="7"/>
      <x:c r="J38" s="7" t="n">
        <x:v>12</x:v>
      </x:c>
      <x:c r="K38" s="7" t="str">
        <x:v>unverified-denominator</x:v>
      </x:c>
      <x:c r="L38" s="7" t="d">
        <x:v>2026-09-16T05:12:38.111Z</x:v>
      </x:c>
      <x:c r="M38" s="7" t="str">
        <x:v>https://apm.activecommunities.com/portlandparks/Activity_Search/art---lotions-potions-slime/207928?locale=en-US</x:v>
      </x:c>
    </x:row>
    <x:row r="39" ht="38" customHeight="1">
      <x:c r="A39" s="8" t="str">
        <x:v>208092</x:v>
      </x:c>
      <x:c r="B39" s="11" t="str">
        <x:v>Art- Knitting - Stitching Together</x:v>
      </x:c>
      <x:c r="C39" s="11" t="str">
        <x:v>Peninsula Park Cmty Ctr</x:v>
      </x:c>
      <x:c r="D39" s="11" t="str">
        <x:v>Arts &amp; Crafts - Fiber &amp; Handcrafts</x:v>
      </x:c>
      <x:c r="E39" s="8" t="str">
        <x:v>future</x:v>
      </x:c>
      <x:c r="F39" s="8" t="str">
        <x:v>2026-09-29</x:v>
      </x:c>
      <x:c r="G39" s="8" t="str">
        <x:v>2026-10-27</x:v>
      </x:c>
      <x:c r="H39" s="8" t="n">
        <x:v>2</x:v>
      </x:c>
      <x:c r="I39" s="8"/>
      <x:c r="J39" s="8" t="n">
        <x:v>10</x:v>
      </x:c>
      <x:c r="K39" s="8" t="str">
        <x:v>unverified-denominator</x:v>
      </x:c>
      <x:c r="L39" s="8" t="d">
        <x:v>2026-09-16T05:12:38.111Z</x:v>
      </x:c>
      <x:c r="M39" s="8" t="str">
        <x:v>https://apm.activecommunities.com/portlandparks/Activity_Search/art--knitting---stitching-together/208092?locale=en-US</x:v>
      </x:c>
    </x:row>
    <x:row r="40" ht="38" customHeight="1">
      <x:c r="A40" s="7" t="str">
        <x:v>208096</x:v>
      </x:c>
      <x:c r="B40" s="12" t="str">
        <x:v>Art- Knitting - Stitching Together</x:v>
      </x:c>
      <x:c r="C40" s="12" t="str">
        <x:v>Peninsula Park Cmty Ctr</x:v>
      </x:c>
      <x:c r="D40" s="12" t="str">
        <x:v>Arts &amp; Crafts - Fiber &amp; Handcrafts</x:v>
      </x:c>
      <x:c r="E40" s="7" t="str">
        <x:v>future</x:v>
      </x:c>
      <x:c r="F40" s="7" t="str">
        <x:v>2026-11-03</x:v>
      </x:c>
      <x:c r="G40" s="7" t="str">
        <x:v>2026-12-01</x:v>
      </x:c>
      <x:c r="H40" s="7" t="n">
        <x:v>0</x:v>
      </x:c>
      <x:c r="I40" s="7"/>
      <x:c r="J40" s="7" t="n">
        <x:v>10</x:v>
      </x:c>
      <x:c r="K40" s="7" t="str">
        <x:v>unverified-denominator</x:v>
      </x:c>
      <x:c r="L40" s="7" t="d">
        <x:v>2026-09-16T05:12:38.111Z</x:v>
      </x:c>
      <x:c r="M40" s="7" t="str">
        <x:v>https://apm.activecommunities.com/portlandparks/Activity_Search/art--knitting---stitching-together/208096?locale=en-US</x:v>
      </x:c>
    </x:row>
    <x:row r="41" ht="38" customHeight="1">
      <x:c r="A41" s="8" t="str">
        <x:v>201955</x:v>
      </x:c>
      <x:c r="B41" s="11" t="str">
        <x:v>Ballet - Basics</x:v>
      </x:c>
      <x:c r="C41" s="11" t="str">
        <x:v>Peninsula Park Cmty Ctr</x:v>
      </x:c>
      <x:c r="D41" s="11" t="str">
        <x:v>Dance</x:v>
      </x:c>
      <x:c r="E41" s="8" t="str">
        <x:v>active</x:v>
      </x:c>
      <x:c r="F41" s="8" t="str">
        <x:v>2026-09-02</x:v>
      </x:c>
      <x:c r="G41" s="8" t="str">
        <x:v>2026-09-23</x:v>
      </x:c>
      <x:c r="H41" s="8" t="n">
        <x:v>9</x:v>
      </x:c>
      <x:c r="I41" s="8"/>
      <x:c r="J41" s="8" t="n">
        <x:v>12</x:v>
      </x:c>
      <x:c r="K41" s="8" t="str">
        <x:v>unverified-denominator</x:v>
      </x:c>
      <x:c r="L41" s="8" t="d">
        <x:v>2026-09-16T05:12:38.111Z</x:v>
      </x:c>
      <x:c r="M41" s="8" t="str">
        <x:v>https://apm.activecommunities.com/portlandparks/Activity_Search/ballet---basics/201955?locale=en-US</x:v>
      </x:c>
    </x:row>
    <x:row r="42" ht="38" customHeight="1">
      <x:c r="A42" s="7" t="str">
        <x:v>208082</x:v>
      </x:c>
      <x:c r="B42" s="12" t="str">
        <x:v>Ballet - Basics</x:v>
      </x:c>
      <x:c r="C42" s="12" t="str">
        <x:v>Peninsula Park Cmty Ctr</x:v>
      </x:c>
      <x:c r="D42" s="12" t="str">
        <x:v>Dance</x:v>
      </x:c>
      <x:c r="E42" s="7" t="str">
        <x:v>future</x:v>
      </x:c>
      <x:c r="F42" s="7" t="str">
        <x:v>2026-09-28</x:v>
      </x:c>
      <x:c r="G42" s="7" t="str">
        <x:v>2026-10-26</x:v>
      </x:c>
      <x:c r="H42" s="7" t="n">
        <x:v>12</x:v>
      </x:c>
      <x:c r="I42" s="7" t="n">
        <x:v>1</x:v>
      </x:c>
      <x:c r="J42" s="7" t="n">
        <x:v>12</x:v>
      </x:c>
      <x:c r="K42" s="7" t="str">
        <x:v>unverified-denominator</x:v>
      </x:c>
      <x:c r="L42" s="7" t="d">
        <x:v>2026-09-16T05:12:38.111Z</x:v>
      </x:c>
      <x:c r="M42" s="7" t="str">
        <x:v>https://apm.activecommunities.com/portlandparks/Activity_Search/ballet---basics/208082?locale=en-US</x:v>
      </x:c>
    </x:row>
    <x:row r="43" ht="38" customHeight="1">
      <x:c r="A43" s="8" t="str">
        <x:v>208083</x:v>
      </x:c>
      <x:c r="B43" s="11" t="str">
        <x:v>Ballet - Basics</x:v>
      </x:c>
      <x:c r="C43" s="11" t="str">
        <x:v>Peninsula Park Cmty Ctr</x:v>
      </x:c>
      <x:c r="D43" s="11" t="str">
        <x:v>Dance</x:v>
      </x:c>
      <x:c r="E43" s="8" t="str">
        <x:v>future</x:v>
      </x:c>
      <x:c r="F43" s="8" t="str">
        <x:v>2026-11-02</x:v>
      </x:c>
      <x:c r="G43" s="8" t="str">
        <x:v>2026-12-07</x:v>
      </x:c>
      <x:c r="H43" s="8" t="n">
        <x:v>0</x:v>
      </x:c>
      <x:c r="I43" s="8"/>
      <x:c r="J43" s="8" t="n">
        <x:v>12</x:v>
      </x:c>
      <x:c r="K43" s="8" t="str">
        <x:v>unverified-denominator</x:v>
      </x:c>
      <x:c r="L43" s="8" t="d">
        <x:v>2026-09-16T05:12:38.111Z</x:v>
      </x:c>
      <x:c r="M43" s="8" t="str">
        <x:v>https://apm.activecommunities.com/portlandparks/Activity_Search/ballet---basics/208083?locale=en-US</x:v>
      </x:c>
    </x:row>
    <x:row r="44" ht="38" customHeight="1">
      <x:c r="A44" s="7" t="str">
        <x:v>208678</x:v>
      </x:c>
      <x:c r="B44" s="12" t="str">
        <x:v>Ballet - Basics</x:v>
      </x:c>
      <x:c r="C44" s="12" t="str">
        <x:v>Mt Scott Cmty Ctr</x:v>
      </x:c>
      <x:c r="D44" s="12" t="str">
        <x:v>Dance</x:v>
      </x:c>
      <x:c r="E44" s="7" t="str">
        <x:v>future</x:v>
      </x:c>
      <x:c r="F44" s="7" t="str">
        <x:v>2026-10-11</x:v>
      </x:c>
      <x:c r="G44" s="7" t="str">
        <x:v>2026-11-01</x:v>
      </x:c>
      <x:c r="H44" s="7" t="n">
        <x:v>11</x:v>
      </x:c>
      <x:c r="I44" s="7"/>
      <x:c r="J44" s="7" t="n">
        <x:v>12</x:v>
      </x:c>
      <x:c r="K44" s="7" t="str">
        <x:v>unverified-denominator</x:v>
      </x:c>
      <x:c r="L44" s="7" t="d">
        <x:v>2026-09-16T05:12:38.111Z</x:v>
      </x:c>
      <x:c r="M44" s="7" t="str">
        <x:v>https://apm.activecommunities.com/portlandparks/Activity_Search/ballet---basics/208678?locale=en-US</x:v>
      </x:c>
    </x:row>
    <x:row r="45" ht="38" customHeight="1">
      <x:c r="A45" s="8" t="str">
        <x:v>208679</x:v>
      </x:c>
      <x:c r="B45" s="11" t="str">
        <x:v>Ballet - Basics</x:v>
      </x:c>
      <x:c r="C45" s="11" t="str">
        <x:v>Mt Scott Cmty Ctr</x:v>
      </x:c>
      <x:c r="D45" s="11" t="str">
        <x:v>Dance</x:v>
      </x:c>
      <x:c r="E45" s="8" t="str">
        <x:v>future</x:v>
      </x:c>
      <x:c r="F45" s="8" t="str">
        <x:v>2026-10-11</x:v>
      </x:c>
      <x:c r="G45" s="8" t="str">
        <x:v>2026-11-01</x:v>
      </x:c>
      <x:c r="H45" s="8" t="n">
        <x:v>1</x:v>
      </x:c>
      <x:c r="I45" s="8"/>
      <x:c r="J45" s="8" t="n">
        <x:v>12</x:v>
      </x:c>
      <x:c r="K45" s="8" t="str">
        <x:v>unverified-denominator</x:v>
      </x:c>
      <x:c r="L45" s="8" t="d">
        <x:v>2026-09-16T05:12:38.111Z</x:v>
      </x:c>
      <x:c r="M45" s="8" t="str">
        <x:v>https://apm.activecommunities.com/portlandparks/Activity_Search/ballet---basics/208679?locale=en-US</x:v>
      </x:c>
    </x:row>
    <x:row r="46" ht="38" customHeight="1">
      <x:c r="A46" s="7" t="str">
        <x:v>208680</x:v>
      </x:c>
      <x:c r="B46" s="12" t="str">
        <x:v>Ballet - Basics</x:v>
      </x:c>
      <x:c r="C46" s="12" t="str">
        <x:v>Mt Scott Cmty Ctr</x:v>
      </x:c>
      <x:c r="D46" s="12" t="str">
        <x:v>Dance</x:v>
      </x:c>
      <x:c r="E46" s="7" t="str">
        <x:v>future</x:v>
      </x:c>
      <x:c r="F46" s="7" t="str">
        <x:v>2026-11-08</x:v>
      </x:c>
      <x:c r="G46" s="7" t="str">
        <x:v>2026-12-13</x:v>
      </x:c>
      <x:c r="H46" s="7" t="n">
        <x:v>0</x:v>
      </x:c>
      <x:c r="I46" s="7"/>
      <x:c r="J46" s="7" t="n">
        <x:v>12</x:v>
      </x:c>
      <x:c r="K46" s="7" t="str">
        <x:v>unverified-denominator</x:v>
      </x:c>
      <x:c r="L46" s="7" t="d">
        <x:v>2026-09-16T05:12:38.111Z</x:v>
      </x:c>
      <x:c r="M46" s="7" t="str">
        <x:v>https://apm.activecommunities.com/portlandparks/Activity_Search/ballet---basics/208680?locale=en-US</x:v>
      </x:c>
    </x:row>
    <x:row r="47" ht="38" customHeight="1">
      <x:c r="A47" s="8" t="str">
        <x:v>208681</x:v>
      </x:c>
      <x:c r="B47" s="11" t="str">
        <x:v>Ballet - Basics</x:v>
      </x:c>
      <x:c r="C47" s="11" t="str">
        <x:v>Mt Scott Cmty Ctr</x:v>
      </x:c>
      <x:c r="D47" s="11" t="str">
        <x:v>Dance</x:v>
      </x:c>
      <x:c r="E47" s="8" t="str">
        <x:v>future</x:v>
      </x:c>
      <x:c r="F47" s="8" t="str">
        <x:v>2026-11-08</x:v>
      </x:c>
      <x:c r="G47" s="8" t="str">
        <x:v>2026-12-13</x:v>
      </x:c>
      <x:c r="H47" s="8" t="n">
        <x:v>0</x:v>
      </x:c>
      <x:c r="I47" s="8"/>
      <x:c r="J47" s="8" t="n">
        <x:v>12</x:v>
      </x:c>
      <x:c r="K47" s="8" t="str">
        <x:v>unverified-denominator</x:v>
      </x:c>
      <x:c r="L47" s="8" t="d">
        <x:v>2026-09-16T05:12:38.111Z</x:v>
      </x:c>
      <x:c r="M47" s="8" t="str">
        <x:v>https://apm.activecommunities.com/portlandparks/Activity_Search/ballet---basics/208681?locale=en-US</x:v>
      </x:c>
    </x:row>
    <x:row r="48" ht="38" customHeight="1">
      <x:c r="A48" s="7" t="str">
        <x:v>209188</x:v>
      </x:c>
      <x:c r="B48" s="12" t="str">
        <x:v>Ballet - Basics</x:v>
      </x:c>
      <x:c r="C48" s="12" t="str">
        <x:v>Peninsula Park Cmty Ctr</x:v>
      </x:c>
      <x:c r="D48" s="12" t="str">
        <x:v>Dance</x:v>
      </x:c>
      <x:c r="E48" s="7" t="str">
        <x:v>future</x:v>
      </x:c>
      <x:c r="F48" s="7" t="str">
        <x:v>2026-09-30</x:v>
      </x:c>
      <x:c r="G48" s="7" t="str">
        <x:v>2026-10-28</x:v>
      </x:c>
      <x:c r="H48" s="7" t="n">
        <x:v>5</x:v>
      </x:c>
      <x:c r="I48" s="7"/>
      <x:c r="J48" s="7" t="n">
        <x:v>12</x:v>
      </x:c>
      <x:c r="K48" s="7" t="str">
        <x:v>unverified-denominator</x:v>
      </x:c>
      <x:c r="L48" s="7" t="d">
        <x:v>2026-09-16T05:12:38.111Z</x:v>
      </x:c>
      <x:c r="M48" s="7" t="str">
        <x:v>https://apm.activecommunities.com/portlandparks/Activity_Search/ballet---basics/209188?locale=en-US</x:v>
      </x:c>
    </x:row>
    <x:row r="49" ht="38" customHeight="1">
      <x:c r="A49" s="8" t="str">
        <x:v>209189</x:v>
      </x:c>
      <x:c r="B49" s="11" t="str">
        <x:v>Ballet - Basics</x:v>
      </x:c>
      <x:c r="C49" s="11" t="str">
        <x:v>Peninsula Park Cmty Ctr</x:v>
      </x:c>
      <x:c r="D49" s="11" t="str">
        <x:v>Dance</x:v>
      </x:c>
      <x:c r="E49" s="8" t="str">
        <x:v>future</x:v>
      </x:c>
      <x:c r="F49" s="8" t="str">
        <x:v>2026-11-04</x:v>
      </x:c>
      <x:c r="G49" s="8" t="str">
        <x:v>2026-12-09</x:v>
      </x:c>
      <x:c r="H49" s="8" t="n">
        <x:v>0</x:v>
      </x:c>
      <x:c r="I49" s="8"/>
      <x:c r="J49" s="8" t="n">
        <x:v>12</x:v>
      </x:c>
      <x:c r="K49" s="8" t="str">
        <x:v>unverified-denominator</x:v>
      </x:c>
      <x:c r="L49" s="8" t="d">
        <x:v>2026-09-16T05:12:38.111Z</x:v>
      </x:c>
      <x:c r="M49" s="8" t="str">
        <x:v>https://apm.activecommunities.com/portlandparks/Activity_Search/ballet---basics/209189?locale=en-US</x:v>
      </x:c>
    </x:row>
    <x:row r="50" ht="38" customHeight="1">
      <x:c r="A50" s="7" t="str">
        <x:v>207844</x:v>
      </x:c>
      <x:c r="B50" s="12" t="str">
        <x:v>Baseball - Jump Start</x:v>
      </x:c>
      <x:c r="C50" s="12" t="str">
        <x:v>East Portland Cmty Ctr</x:v>
      </x:c>
      <x:c r="D50" s="12" t="str">
        <x:v>Sports - Baseball</x:v>
      </x:c>
      <x:c r="E50" s="7" t="str">
        <x:v>future</x:v>
      </x:c>
      <x:c r="F50" s="7" t="str">
        <x:v>2026-11-08</x:v>
      </x:c>
      <x:c r="G50" s="7" t="str">
        <x:v>2026-12-13</x:v>
      </x:c>
      <x:c r="H50" s="7" t="n">
        <x:v>0</x:v>
      </x:c>
      <x:c r="I50" s="7"/>
      <x:c r="J50" s="7" t="n">
        <x:v>10</x:v>
      </x:c>
      <x:c r="K50" s="7" t="str">
        <x:v>unverified-denominator</x:v>
      </x:c>
      <x:c r="L50" s="7" t="d">
        <x:v>2026-09-16T05:12:38.111Z</x:v>
      </x:c>
      <x:c r="M50" s="7" t="str">
        <x:v>https://apm.activecommunities.com/portlandparks/Activity_Search/baseball---jump-start/207844?locale=en-US</x:v>
      </x:c>
    </x:row>
    <x:row r="51" ht="38" customHeight="1">
      <x:c r="A51" s="8" t="str">
        <x:v>207792</x:v>
      </x:c>
      <x:c r="B51" s="11" t="str">
        <x:v>Baseball - Jump Start</x:v>
      </x:c>
      <x:c r="C51" s="11" t="str">
        <x:v>East Portland Cmty Ctr</x:v>
      </x:c>
      <x:c r="D51" s="11" t="str">
        <x:v>Sports - Baseball</x:v>
      </x:c>
      <x:c r="E51" s="8" t="str">
        <x:v>future</x:v>
      </x:c>
      <x:c r="F51" s="8" t="str">
        <x:v>2026-10-04</x:v>
      </x:c>
      <x:c r="G51" s="8" t="str">
        <x:v>2026-11-01</x:v>
      </x:c>
      <x:c r="H51" s="8" t="n">
        <x:v>10</x:v>
      </x:c>
      <x:c r="I51" s="8" t="n">
        <x:v>5</x:v>
      </x:c>
      <x:c r="J51" s="8" t="n">
        <x:v>10</x:v>
      </x:c>
      <x:c r="K51" s="8" t="str">
        <x:v>unverified-denominator</x:v>
      </x:c>
      <x:c r="L51" s="8" t="d">
        <x:v>2026-09-16T05:12:38.111Z</x:v>
      </x:c>
      <x:c r="M51" s="8" t="str">
        <x:v>https://apm.activecommunities.com/portlandparks/Activity_Search/baseball---jump-start/207792?locale=en-US</x:v>
      </x:c>
    </x:row>
    <x:row r="52" ht="38" customHeight="1">
      <x:c r="A52" s="7" t="str">
        <x:v>208628</x:v>
      </x:c>
      <x:c r="B52" s="12" t="str">
        <x:v>Basketball - Drills &amp; Thrills</x:v>
      </x:c>
      <x:c r="C52" s="12" t="str">
        <x:v>Charles Jordan Cmty Ctr</x:v>
      </x:c>
      <x:c r="D52" s="12" t="str">
        <x:v>Sports - Basketball</x:v>
      </x:c>
      <x:c r="E52" s="7" t="str">
        <x:v>future</x:v>
      </x:c>
      <x:c r="F52" s="7" t="str">
        <x:v>2026-10-03</x:v>
      </x:c>
      <x:c r="G52" s="7" t="str">
        <x:v>2026-10-31</x:v>
      </x:c>
      <x:c r="H52" s="7" t="n">
        <x:v>10</x:v>
      </x:c>
      <x:c r="I52" s="7"/>
      <x:c r="J52" s="7" t="n">
        <x:v>12</x:v>
      </x:c>
      <x:c r="K52" s="7" t="str">
        <x:v>unverified-denominator</x:v>
      </x:c>
      <x:c r="L52" s="7" t="d">
        <x:v>2026-09-16T05:12:38.111Z</x:v>
      </x:c>
      <x:c r="M52" s="7" t="str">
        <x:v>https://apm.activecommunities.com/portlandparks/Activity_Search/basketball---drills-thrills/208628?locale=en-US</x:v>
      </x:c>
    </x:row>
    <x:row r="53" ht="38" customHeight="1">
      <x:c r="A53" s="8" t="str">
        <x:v>208643</x:v>
      </x:c>
      <x:c r="B53" s="11" t="str">
        <x:v>Basketball - Drills &amp; Thrills</x:v>
      </x:c>
      <x:c r="C53" s="11" t="str">
        <x:v>Charles Jordan Cmty Ctr</x:v>
      </x:c>
      <x:c r="D53" s="11" t="str">
        <x:v>Sports - Basketball</x:v>
      </x:c>
      <x:c r="E53" s="8" t="str">
        <x:v>future</x:v>
      </x:c>
      <x:c r="F53" s="8" t="str">
        <x:v>2026-11-07</x:v>
      </x:c>
      <x:c r="G53" s="8" t="str">
        <x:v>2026-12-12</x:v>
      </x:c>
      <x:c r="H53" s="8" t="n">
        <x:v>1</x:v>
      </x:c>
      <x:c r="I53" s="8"/>
      <x:c r="J53" s="8" t="n">
        <x:v>12</x:v>
      </x:c>
      <x:c r="K53" s="8" t="str">
        <x:v>unverified-denominator</x:v>
      </x:c>
      <x:c r="L53" s="8" t="d">
        <x:v>2026-09-16T05:12:38.111Z</x:v>
      </x:c>
      <x:c r="M53" s="8" t="str">
        <x:v>https://apm.activecommunities.com/portlandparks/Activity_Search/basketball---drills-thrills/208643?locale=en-US</x:v>
      </x:c>
    </x:row>
    <x:row r="54" ht="38" customHeight="1">
      <x:c r="A54" s="7" t="str">
        <x:v>208630</x:v>
      </x:c>
      <x:c r="B54" s="12" t="str">
        <x:v>Basketball - Hoop It Up</x:v>
      </x:c>
      <x:c r="C54" s="12" t="str">
        <x:v>Mt Scott Cmty Ctr</x:v>
      </x:c>
      <x:c r="D54" s="12" t="str">
        <x:v>Sports - Basketball</x:v>
      </x:c>
      <x:c r="E54" s="7" t="str">
        <x:v>future</x:v>
      </x:c>
      <x:c r="F54" s="7" t="str">
        <x:v>2026-11-07</x:v>
      </x:c>
      <x:c r="G54" s="7" t="str">
        <x:v>2026-12-12</x:v>
      </x:c>
      <x:c r="H54" s="7" t="n">
        <x:v>0</x:v>
      </x:c>
      <x:c r="I54" s="7"/>
      <x:c r="J54" s="7" t="n">
        <x:v>12</x:v>
      </x:c>
      <x:c r="K54" s="7" t="str">
        <x:v>unverified-denominator</x:v>
      </x:c>
      <x:c r="L54" s="7" t="d">
        <x:v>2026-09-16T05:12:38.111Z</x:v>
      </x:c>
      <x:c r="M54" s="7" t="str">
        <x:v>https://apm.activecommunities.com/portlandparks/Activity_Search/basketball---hoop-it-up/208630?locale=en-US</x:v>
      </x:c>
    </x:row>
    <x:row r="55" ht="38" customHeight="1">
      <x:c r="A55" s="8" t="str">
        <x:v>208614</x:v>
      </x:c>
      <x:c r="B55" s="11" t="str">
        <x:v>Basketball - Hoop It Up</x:v>
      </x:c>
      <x:c r="C55" s="11" t="str">
        <x:v>Mt Scott Cmty Ctr</x:v>
      </x:c>
      <x:c r="D55" s="11" t="str">
        <x:v>Sports - Basketball</x:v>
      </x:c>
      <x:c r="E55" s="8" t="str">
        <x:v>future</x:v>
      </x:c>
      <x:c r="F55" s="8" t="str">
        <x:v>2026-10-10</x:v>
      </x:c>
      <x:c r="G55" s="8" t="str">
        <x:v>2026-10-31</x:v>
      </x:c>
      <x:c r="H55" s="8" t="n">
        <x:v>12</x:v>
      </x:c>
      <x:c r="I55" s="8" t="n">
        <x:v>1</x:v>
      </x:c>
      <x:c r="J55" s="8" t="n">
        <x:v>12</x:v>
      </x:c>
      <x:c r="K55" s="8" t="str">
        <x:v>unverified-denominator</x:v>
      </x:c>
      <x:c r="L55" s="8" t="d">
        <x:v>2026-09-16T05:12:38.111Z</x:v>
      </x:c>
      <x:c r="M55" s="8" t="str">
        <x:v>https://apm.activecommunities.com/portlandparks/Activity_Search/basketball---hoop-it-up/208614?locale=en-US</x:v>
      </x:c>
    </x:row>
    <x:row r="56" ht="38" customHeight="1">
      <x:c r="A56" s="7" t="str">
        <x:v>208565</x:v>
      </x:c>
      <x:c r="B56" s="12" t="str">
        <x:v>Basketball - Hoop It Up</x:v>
      </x:c>
      <x:c r="C56" s="12" t="str">
        <x:v>Mt Scott Cmty Ctr</x:v>
      </x:c>
      <x:c r="D56" s="12" t="str">
        <x:v>Sports - Basketball</x:v>
      </x:c>
      <x:c r="E56" s="7" t="str">
        <x:v>active</x:v>
      </x:c>
      <x:c r="F56" s="7" t="str">
        <x:v>2026-09-05</x:v>
      </x:c>
      <x:c r="G56" s="7" t="str">
        <x:v>2026-09-26</x:v>
      </x:c>
      <x:c r="H56" s="7" t="n">
        <x:v>12</x:v>
      </x:c>
      <x:c r="I56" s="7" t="n">
        <x:v>2</x:v>
      </x:c>
      <x:c r="J56" s="7" t="n">
        <x:v>12</x:v>
      </x:c>
      <x:c r="K56" s="7" t="str">
        <x:v>unverified-denominator</x:v>
      </x:c>
      <x:c r="L56" s="7" t="d">
        <x:v>2026-09-16T05:12:38.111Z</x:v>
      </x:c>
      <x:c r="M56" s="7" t="str">
        <x:v>https://apm.activecommunities.com/portlandparks/Activity_Search/basketball---hoop-it-up/208565?locale=en-US</x:v>
      </x:c>
    </x:row>
    <x:row r="57" ht="38" customHeight="1">
      <x:c r="A57" s="8" t="str">
        <x:v>207794</x:v>
      </x:c>
      <x:c r="B57" s="11" t="str">
        <x:v>Basketball - Hoop It Up</x:v>
      </x:c>
      <x:c r="C57" s="11" t="str">
        <x:v>East Portland Cmty Ctr</x:v>
      </x:c>
      <x:c r="D57" s="11" t="str">
        <x:v>Sports - Basketball</x:v>
      </x:c>
      <x:c r="E57" s="8" t="str">
        <x:v>future</x:v>
      </x:c>
      <x:c r="F57" s="8" t="str">
        <x:v>2026-10-04</x:v>
      </x:c>
      <x:c r="G57" s="8" t="str">
        <x:v>2026-11-01</x:v>
      </x:c>
      <x:c r="H57" s="8" t="n">
        <x:v>10</x:v>
      </x:c>
      <x:c r="I57" s="8"/>
      <x:c r="J57" s="8" t="n">
        <x:v>10</x:v>
      </x:c>
      <x:c r="K57" s="8" t="str">
        <x:v>unverified-denominator</x:v>
      </x:c>
      <x:c r="L57" s="8" t="d">
        <x:v>2026-09-16T05:12:38.111Z</x:v>
      </x:c>
      <x:c r="M57" s="8" t="str">
        <x:v>https://apm.activecommunities.com/portlandparks/Activity_Search/basketball---hoop-it-up/207794?locale=en-US</x:v>
      </x:c>
    </x:row>
    <x:row r="58" ht="38" customHeight="1">
      <x:c r="A58" s="7" t="str">
        <x:v>207847</x:v>
      </x:c>
      <x:c r="B58" s="12" t="str">
        <x:v>Basketball - Hoop It Up</x:v>
      </x:c>
      <x:c r="C58" s="12" t="str">
        <x:v>East Portland Cmty Ctr</x:v>
      </x:c>
      <x:c r="D58" s="12" t="str">
        <x:v>Sports - Basketball</x:v>
      </x:c>
      <x:c r="E58" s="7" t="str">
        <x:v>future</x:v>
      </x:c>
      <x:c r="F58" s="7" t="str">
        <x:v>2026-11-08</x:v>
      </x:c>
      <x:c r="G58" s="7" t="str">
        <x:v>2026-12-13</x:v>
      </x:c>
      <x:c r="H58" s="7" t="n">
        <x:v>0</x:v>
      </x:c>
      <x:c r="I58" s="7"/>
      <x:c r="J58" s="7" t="n">
        <x:v>10</x:v>
      </x:c>
      <x:c r="K58" s="7" t="str">
        <x:v>unverified-denominator</x:v>
      </x:c>
      <x:c r="L58" s="7" t="d">
        <x:v>2026-09-16T05:12:38.111Z</x:v>
      </x:c>
      <x:c r="M58" s="7" t="str">
        <x:v>https://apm.activecommunities.com/portlandparks/Activity_Search/basketball---hoop-it-up/207847?locale=en-US</x:v>
      </x:c>
    </x:row>
    <x:row r="59" ht="38" customHeight="1">
      <x:c r="A59" s="8" t="str">
        <x:v>207845</x:v>
      </x:c>
      <x:c r="B59" s="11" t="str">
        <x:v>Basketball - Jump Start</x:v>
      </x:c>
      <x:c r="C59" s="11" t="str">
        <x:v>East Portland Cmty Ctr</x:v>
      </x:c>
      <x:c r="D59" s="11" t="str">
        <x:v>Sports - Basketball</x:v>
      </x:c>
      <x:c r="E59" s="8" t="str">
        <x:v>future</x:v>
      </x:c>
      <x:c r="F59" s="8" t="str">
        <x:v>2026-11-08</x:v>
      </x:c>
      <x:c r="G59" s="8" t="str">
        <x:v>2026-12-13</x:v>
      </x:c>
      <x:c r="H59" s="8" t="n">
        <x:v>0</x:v>
      </x:c>
      <x:c r="I59" s="8"/>
      <x:c r="J59" s="8" t="n">
        <x:v>10</x:v>
      </x:c>
      <x:c r="K59" s="8" t="str">
        <x:v>unverified-denominator</x:v>
      </x:c>
      <x:c r="L59" s="8" t="d">
        <x:v>2026-09-16T05:12:38.111Z</x:v>
      </x:c>
      <x:c r="M59" s="8" t="str">
        <x:v>https://apm.activecommunities.com/portlandparks/Activity_Search/basketball---jump-start/207845?locale=en-US</x:v>
      </x:c>
    </x:row>
    <x:row r="60" ht="38" customHeight="1">
      <x:c r="A60" s="7" t="str">
        <x:v>207796</x:v>
      </x:c>
      <x:c r="B60" s="12" t="str">
        <x:v>Basketball - Jump Start</x:v>
      </x:c>
      <x:c r="C60" s="12" t="str">
        <x:v>East Portland Cmty Ctr</x:v>
      </x:c>
      <x:c r="D60" s="12" t="str">
        <x:v>Sports - Basketball</x:v>
      </x:c>
      <x:c r="E60" s="7" t="str">
        <x:v>future</x:v>
      </x:c>
      <x:c r="F60" s="7" t="str">
        <x:v>2026-10-04</x:v>
      </x:c>
      <x:c r="G60" s="7" t="str">
        <x:v>2026-11-01</x:v>
      </x:c>
      <x:c r="H60" s="7" t="n">
        <x:v>10</x:v>
      </x:c>
      <x:c r="I60" s="7" t="n">
        <x:v>11</x:v>
      </x:c>
      <x:c r="J60" s="7" t="n">
        <x:v>10</x:v>
      </x:c>
      <x:c r="K60" s="7" t="str">
        <x:v>unverified-denominator</x:v>
      </x:c>
      <x:c r="L60" s="7" t="d">
        <x:v>2026-09-16T05:12:38.111Z</x:v>
      </x:c>
      <x:c r="M60" s="7" t="str">
        <x:v>https://apm.activecommunities.com/portlandparks/Activity_Search/basketball---jump-start/207796?locale=en-US</x:v>
      </x:c>
    </x:row>
    <x:row r="61" ht="38" customHeight="1">
      <x:c r="A61" s="8" t="str">
        <x:v>208578</x:v>
      </x:c>
      <x:c r="B61" s="11" t="str">
        <x:v>Basketball - Jump Start</x:v>
      </x:c>
      <x:c r="C61" s="11" t="str">
        <x:v>Mt Scott Cmty Ctr</x:v>
      </x:c>
      <x:c r="D61" s="11" t="str">
        <x:v>Sports - Basketball</x:v>
      </x:c>
      <x:c r="E61" s="8" t="str">
        <x:v>active</x:v>
      </x:c>
      <x:c r="F61" s="8" t="str">
        <x:v>2026-09-05</x:v>
      </x:c>
      <x:c r="G61" s="8" t="str">
        <x:v>2026-09-26</x:v>
      </x:c>
      <x:c r="H61" s="8" t="n">
        <x:v>12</x:v>
      </x:c>
      <x:c r="I61" s="8"/>
      <x:c r="J61" s="8" t="n">
        <x:v>12</x:v>
      </x:c>
      <x:c r="K61" s="8" t="str">
        <x:v>unverified-denominator</x:v>
      </x:c>
      <x:c r="L61" s="8" t="d">
        <x:v>2026-09-16T05:12:38.111Z</x:v>
      </x:c>
      <x:c r="M61" s="8" t="str">
        <x:v>https://apm.activecommunities.com/portlandparks/Activity_Search/basketball---jump-start/208578?locale=en-US</x:v>
      </x:c>
    </x:row>
    <x:row r="62" ht="38" customHeight="1">
      <x:c r="A62" s="7" t="str">
        <x:v>208615</x:v>
      </x:c>
      <x:c r="B62" s="12" t="str">
        <x:v>Basketball - Jump Start</x:v>
      </x:c>
      <x:c r="C62" s="12" t="str">
        <x:v>Mt Scott Cmty Ctr</x:v>
      </x:c>
      <x:c r="D62" s="12" t="str">
        <x:v>Sports - Basketball</x:v>
      </x:c>
      <x:c r="E62" s="7" t="str">
        <x:v>future</x:v>
      </x:c>
      <x:c r="F62" s="7" t="str">
        <x:v>2026-10-10</x:v>
      </x:c>
      <x:c r="G62" s="7" t="str">
        <x:v>2026-10-31</x:v>
      </x:c>
      <x:c r="H62" s="7" t="n">
        <x:v>12</x:v>
      </x:c>
      <x:c r="I62" s="7" t="n">
        <x:v>7</x:v>
      </x:c>
      <x:c r="J62" s="7" t="n">
        <x:v>12</x:v>
      </x:c>
      <x:c r="K62" s="7" t="str">
        <x:v>unverified-denominator</x:v>
      </x:c>
      <x:c r="L62" s="7" t="d">
        <x:v>2026-09-16T05:12:38.111Z</x:v>
      </x:c>
      <x:c r="M62" s="7" t="str">
        <x:v>https://apm.activecommunities.com/portlandparks/Activity_Search/basketball---jump-start/208615?locale=en-US</x:v>
      </x:c>
    </x:row>
    <x:row r="63" ht="38" customHeight="1">
      <x:c r="A63" s="8" t="str">
        <x:v>208631</x:v>
      </x:c>
      <x:c r="B63" s="11" t="str">
        <x:v>Basketball - Jump Start</x:v>
      </x:c>
      <x:c r="C63" s="11" t="str">
        <x:v>Mt Scott Cmty Ctr</x:v>
      </x:c>
      <x:c r="D63" s="11" t="str">
        <x:v>Sports - Basketball</x:v>
      </x:c>
      <x:c r="E63" s="8" t="str">
        <x:v>future</x:v>
      </x:c>
      <x:c r="F63" s="8" t="str">
        <x:v>2026-11-07</x:v>
      </x:c>
      <x:c r="G63" s="8" t="str">
        <x:v>2026-12-12</x:v>
      </x:c>
      <x:c r="H63" s="8" t="n">
        <x:v>0</x:v>
      </x:c>
      <x:c r="I63" s="8"/>
      <x:c r="J63" s="8" t="n">
        <x:v>12</x:v>
      </x:c>
      <x:c r="K63" s="8" t="str">
        <x:v>unverified-denominator</x:v>
      </x:c>
      <x:c r="L63" s="8" t="d">
        <x:v>2026-09-16T05:12:38.111Z</x:v>
      </x:c>
      <x:c r="M63" s="8" t="str">
        <x:v>https://apm.activecommunities.com/portlandparks/Activity_Search/basketball---jump-start/208631?locale=en-US</x:v>
      </x:c>
    </x:row>
    <x:row r="64" ht="38" customHeight="1">
      <x:c r="A64" s="7" t="str">
        <x:v>208518</x:v>
      </x:c>
      <x:c r="B64" s="12" t="str">
        <x:v>Basketball - Junior Team Play: w/ Coach Thompson (Ages 4-5)</x:v>
      </x:c>
      <x:c r="C64" s="12" t="str">
        <x:v>Matt Dishman Cmty Ctr</x:v>
      </x:c>
      <x:c r="D64" s="12" t="str">
        <x:v>Sports - Basketball</x:v>
      </x:c>
      <x:c r="E64" s="7" t="str">
        <x:v>future</x:v>
      </x:c>
      <x:c r="F64" s="7" t="str">
        <x:v>2026-10-03</x:v>
      </x:c>
      <x:c r="G64" s="7" t="str">
        <x:v>2026-12-12</x:v>
      </x:c>
      <x:c r="H64" s="7" t="n">
        <x:v>9</x:v>
      </x:c>
      <x:c r="I64" s="7" t="n">
        <x:v>7</x:v>
      </x:c>
      <x:c r="J64" s="7" t="n">
        <x:v>10</x:v>
      </x:c>
      <x:c r="K64" s="7" t="str">
        <x:v>unverified-denominator</x:v>
      </x:c>
      <x:c r="L64" s="7" t="d">
        <x:v>2026-09-16T05:12:38.111Z</x:v>
      </x:c>
      <x:c r="M64" s="7" t="str">
        <x:v>https://apm.activecommunities.com/portlandparks/Activity_Search/basketball---junior-team-play-w-coach-thompson-ages-4-5/208518?locale=en-US</x:v>
      </x:c>
    </x:row>
    <x:row r="65" ht="38" customHeight="1">
      <x:c r="A65" s="8" t="str">
        <x:v>208519</x:v>
      </x:c>
      <x:c r="B65" s="11" t="str">
        <x:v>Basketball - Junior Team Play: w/ Coach Thompson (Ages 5-7)</x:v>
      </x:c>
      <x:c r="C65" s="11" t="str">
        <x:v>Matt Dishman Cmty Ctr</x:v>
      </x:c>
      <x:c r="D65" s="11" t="str">
        <x:v>Sports - Basketball</x:v>
      </x:c>
      <x:c r="E65" s="8" t="str">
        <x:v>future</x:v>
      </x:c>
      <x:c r="F65" s="8" t="str">
        <x:v>2026-10-03</x:v>
      </x:c>
      <x:c r="G65" s="8" t="str">
        <x:v>2026-12-12</x:v>
      </x:c>
      <x:c r="H65" s="8" t="n">
        <x:v>20</x:v>
      </x:c>
      <x:c r="I65" s="8" t="n">
        <x:v>2</x:v>
      </x:c>
      <x:c r="J65" s="8" t="n">
        <x:v>20</x:v>
      </x:c>
      <x:c r="K65" s="8" t="str">
        <x:v>unverified-denominator</x:v>
      </x:c>
      <x:c r="L65" s="8" t="d">
        <x:v>2026-09-16T05:12:38.111Z</x:v>
      </x:c>
      <x:c r="M65" s="8" t="str">
        <x:v>https://apm.activecommunities.com/portlandparks/Activity_Search/basketball---junior-team-play-w-coach-thompson-ages-5-7/208519?locale=en-US</x:v>
      </x:c>
    </x:row>
    <x:row r="66" ht="38" customHeight="1">
      <x:c r="A66" s="7" t="str">
        <x:v>208520</x:v>
      </x:c>
      <x:c r="B66" s="12" t="str">
        <x:v>Basketball - Junior Team Play: w/ Coach Thompson (Ages 7-9)</x:v>
      </x:c>
      <x:c r="C66" s="12" t="str">
        <x:v>Matt Dishman Cmty Ctr</x:v>
      </x:c>
      <x:c r="D66" s="12" t="str">
        <x:v>Sports - Basketball</x:v>
      </x:c>
      <x:c r="E66" s="7" t="str">
        <x:v>future</x:v>
      </x:c>
      <x:c r="F66" s="7" t="str">
        <x:v>2026-10-03</x:v>
      </x:c>
      <x:c r="G66" s="7" t="str">
        <x:v>2026-12-12</x:v>
      </x:c>
      <x:c r="H66" s="7" t="n">
        <x:v>18</x:v>
      </x:c>
      <x:c r="I66" s="7" t="n">
        <x:v>9</x:v>
      </x:c>
      <x:c r="J66" s="7" t="n">
        <x:v>20</x:v>
      </x:c>
      <x:c r="K66" s="7" t="str">
        <x:v>unverified-denominator</x:v>
      </x:c>
      <x:c r="L66" s="7" t="d">
        <x:v>2026-09-16T05:12:38.111Z</x:v>
      </x:c>
      <x:c r="M66" s="7" t="str">
        <x:v>https://apm.activecommunities.com/portlandparks/Activity_Search/basketball---junior-team-play-w-coach-thompson-ages-7-9/208520?locale=en-US</x:v>
      </x:c>
    </x:row>
    <x:row r="67" ht="38" customHeight="1">
      <x:c r="A67" s="8" t="str">
        <x:v>208521</x:v>
      </x:c>
      <x:c r="B67" s="11" t="str">
        <x:v>Basketball - Junior Team Play: w/ Coach Thompson (Ages 9-13)</x:v>
      </x:c>
      <x:c r="C67" s="11" t="str">
        <x:v>Matt Dishman Cmty Ctr</x:v>
      </x:c>
      <x:c r="D67" s="11" t="str">
        <x:v>Sports - Basketball</x:v>
      </x:c>
      <x:c r="E67" s="8" t="str">
        <x:v>future</x:v>
      </x:c>
      <x:c r="F67" s="8" t="str">
        <x:v>2026-10-03</x:v>
      </x:c>
      <x:c r="G67" s="8" t="str">
        <x:v>2026-12-12</x:v>
      </x:c>
      <x:c r="H67" s="8" t="n">
        <x:v>20</x:v>
      </x:c>
      <x:c r="I67" s="8"/>
      <x:c r="J67" s="8" t="n">
        <x:v>20</x:v>
      </x:c>
      <x:c r="K67" s="8" t="str">
        <x:v>unverified-denominator</x:v>
      </x:c>
      <x:c r="L67" s="8" t="d">
        <x:v>2026-09-16T05:12:38.111Z</x:v>
      </x:c>
      <x:c r="M67" s="8" t="str">
        <x:v>https://apm.activecommunities.com/portlandparks/Activity_Search/basketball---junior-team-play-w-coach-thompson-ages-9-13/208521?locale=en-US</x:v>
      </x:c>
    </x:row>
    <x:row r="68" ht="38" customHeight="1">
      <x:c r="A68" s="7" t="str">
        <x:v>208636</x:v>
      </x:c>
      <x:c r="B68" s="12" t="str">
        <x:v>Basketball - Tiny Tots</x:v>
      </x:c>
      <x:c r="C68" s="12" t="str">
        <x:v>Charles Jordan Cmty Ctr</x:v>
      </x:c>
      <x:c r="D68" s="12" t="str">
        <x:v>Sports - Basketball</x:v>
      </x:c>
      <x:c r="E68" s="7" t="str">
        <x:v>future</x:v>
      </x:c>
      <x:c r="F68" s="7" t="str">
        <x:v>2026-11-03</x:v>
      </x:c>
      <x:c r="G68" s="7" t="str">
        <x:v>2026-12-01</x:v>
      </x:c>
      <x:c r="H68" s="7" t="n">
        <x:v>0</x:v>
      </x:c>
      <x:c r="I68" s="7"/>
      <x:c r="J68" s="7" t="n">
        <x:v>12</x:v>
      </x:c>
      <x:c r="K68" s="7" t="str">
        <x:v>unverified-denominator</x:v>
      </x:c>
      <x:c r="L68" s="7" t="d">
        <x:v>2026-09-16T05:12:38.111Z</x:v>
      </x:c>
      <x:c r="M68" s="7" t="str">
        <x:v>https://apm.activecommunities.com/portlandparks/Activity_Search/basketball---tiny-tots/208636?locale=en-US</x:v>
      </x:c>
    </x:row>
    <x:row r="69" ht="38" customHeight="1">
      <x:c r="A69" s="8" t="str">
        <x:v>208621</x:v>
      </x:c>
      <x:c r="B69" s="11" t="str">
        <x:v>Basketball - Tiny Tots</x:v>
      </x:c>
      <x:c r="C69" s="11" t="str">
        <x:v>Charles Jordan Cmty Ctr</x:v>
      </x:c>
      <x:c r="D69" s="11" t="str">
        <x:v>Sports - Basketball</x:v>
      </x:c>
      <x:c r="E69" s="8" t="str">
        <x:v>future</x:v>
      </x:c>
      <x:c r="F69" s="8" t="str">
        <x:v>2026-09-29</x:v>
      </x:c>
      <x:c r="G69" s="8" t="str">
        <x:v>2026-10-27</x:v>
      </x:c>
      <x:c r="H69" s="8" t="n">
        <x:v>8</x:v>
      </x:c>
      <x:c r="I69" s="8"/>
      <x:c r="J69" s="8" t="n">
        <x:v>12</x:v>
      </x:c>
      <x:c r="K69" s="8" t="str">
        <x:v>unverified-denominator</x:v>
      </x:c>
      <x:c r="L69" s="8" t="d">
        <x:v>2026-09-16T05:12:38.111Z</x:v>
      </x:c>
      <x:c r="M69" s="8" t="str">
        <x:v>https://apm.activecommunities.com/portlandparks/Activity_Search/basketball---tiny-tots/208621?locale=en-US</x:v>
      </x:c>
    </x:row>
    <x:row r="70" ht="38" customHeight="1">
      <x:c r="A70" s="7" t="str">
        <x:v>201956</x:v>
      </x:c>
      <x:c r="B70" s="12" t="str">
        <x:v>Basketball - You &amp; Me</x:v>
      </x:c>
      <x:c r="C70" s="12" t="str">
        <x:v>Peninsula Park Cmty Ctr</x:v>
      </x:c>
      <x:c r="D70" s="12" t="str">
        <x:v>Sports - Basketball</x:v>
      </x:c>
      <x:c r="E70" s="7" t="str">
        <x:v>active</x:v>
      </x:c>
      <x:c r="F70" s="7" t="str">
        <x:v>2026-09-03</x:v>
      </x:c>
      <x:c r="G70" s="7" t="str">
        <x:v>2026-09-24</x:v>
      </x:c>
      <x:c r="H70" s="7" t="n">
        <x:v>10</x:v>
      </x:c>
      <x:c r="I70" s="7" t="n">
        <x:v>7</x:v>
      </x:c>
      <x:c r="J70" s="7" t="n">
        <x:v>10</x:v>
      </x:c>
      <x:c r="K70" s="7" t="str">
        <x:v>unverified-denominator</x:v>
      </x:c>
      <x:c r="L70" s="7" t="d">
        <x:v>2026-09-16T05:12:38.111Z</x:v>
      </x:c>
      <x:c r="M70" s="7" t="str">
        <x:v>https://apm.activecommunities.com/portlandparks/Activity_Search/basketball---you-me/201956?locale=en-US</x:v>
      </x:c>
    </x:row>
    <x:row r="71" ht="38" customHeight="1">
      <x:c r="A71" s="8" t="str">
        <x:v>207483</x:v>
      </x:c>
      <x:c r="B71" s="11" t="str">
        <x:v>Book Arts - Rebinding Paperbacks</x:v>
      </x:c>
      <x:c r="C71" s="11" t="str">
        <x:v>Multnomah Arts Ctr</x:v>
      </x:c>
      <x:c r="D71" s="11" t="str">
        <x:v>Arts &amp; Crafts - Glass/Photo/Print &amp; Wood</x:v>
      </x:c>
      <x:c r="E71" s="8" t="str">
        <x:v>future</x:v>
      </x:c>
      <x:c r="F71" s="8" t="str">
        <x:v>2026-11-06</x:v>
      </x:c>
      <x:c r="G71" s="8" t="str">
        <x:v>2026-11-13</x:v>
      </x:c>
      <x:c r="H71" s="8" t="n">
        <x:v>0</x:v>
      </x:c>
      <x:c r="I71" s="8"/>
      <x:c r="J71" s="8" t="n">
        <x:v>8</x:v>
      </x:c>
      <x:c r="K71" s="8" t="str">
        <x:v>unverified-denominator</x:v>
      </x:c>
      <x:c r="L71" s="8" t="d">
        <x:v>2026-09-16T05:12:38.111Z</x:v>
      </x:c>
      <x:c r="M71" s="8" t="str">
        <x:v>https://apm.activecommunities.com/portlandparks/Activity_Search/book-arts---rebinding-paperbacks/207483?locale=en-US</x:v>
      </x:c>
    </x:row>
    <x:row r="72" ht="38" customHeight="1">
      <x:c r="A72" s="7" t="str">
        <x:v>208013</x:v>
      </x:c>
      <x:c r="B72" s="12" t="str">
        <x:v>Book Arts - Upcycle It! Handbound BooksfromEverydayMaterials</x:v>
      </x:c>
      <x:c r="C72" s="12" t="str">
        <x:v>Multnomah Arts Ctr</x:v>
      </x:c>
      <x:c r="D72" s="12" t="str">
        <x:v>Arts &amp; Crafts - Glass/Photo/Print &amp; Wood</x:v>
      </x:c>
      <x:c r="E72" s="7" t="str">
        <x:v>undated</x:v>
      </x:c>
      <x:c r="F72" s="7" t="str">
        <x:v>2026-12-10</x:v>
      </x:c>
      <x:c r="G72" s="7" t="str"/>
      <x:c r="H72" s="7" t="n">
        <x:v>0</x:v>
      </x:c>
      <x:c r="I72" s="7"/>
      <x:c r="J72" s="7" t="n">
        <x:v>8</x:v>
      </x:c>
      <x:c r="K72" s="7" t="str">
        <x:v>unverified-denominator</x:v>
      </x:c>
      <x:c r="L72" s="7" t="d">
        <x:v>2026-09-16T05:12:38.111Z</x:v>
      </x:c>
      <x:c r="M72" s="7" t="str">
        <x:v>https://apm.activecommunities.com/portlandparks/Activity_Search/book-arts---upcycle-it-handbound-booksfromeverydaymaterials/208013?locale=en-US</x:v>
      </x:c>
    </x:row>
    <x:row r="73" ht="38" customHeight="1">
      <x:c r="A73" s="8" t="str">
        <x:v>208014</x:v>
      </x:c>
      <x:c r="B73" s="11" t="str">
        <x:v>Book Arts - Waxed Kirigami Snowflakes</x:v>
      </x:c>
      <x:c r="C73" s="11" t="str">
        <x:v>Multnomah Arts Ctr</x:v>
      </x:c>
      <x:c r="D73" s="11" t="str">
        <x:v>Arts &amp; Crafts - Glass/Photo/Print &amp; Wood</x:v>
      </x:c>
      <x:c r="E73" s="8" t="str">
        <x:v>undated</x:v>
      </x:c>
      <x:c r="F73" s="8" t="str">
        <x:v>2026-10-01</x:v>
      </x:c>
      <x:c r="G73" s="8" t="str"/>
      <x:c r="H73" s="8" t="n">
        <x:v>8</x:v>
      </x:c>
      <x:c r="I73" s="8" t="n">
        <x:v>4</x:v>
      </x:c>
      <x:c r="J73" s="8" t="n">
        <x:v>8</x:v>
      </x:c>
      <x:c r="K73" s="8" t="str">
        <x:v>unverified-denominator</x:v>
      </x:c>
      <x:c r="L73" s="8" t="d">
        <x:v>2026-09-16T05:12:38.111Z</x:v>
      </x:c>
      <x:c r="M73" s="8" t="str">
        <x:v>https://apm.activecommunities.com/portlandparks/Activity_Search/book-arts---waxed-kirigami-snowflakes/208014?locale=en-US</x:v>
      </x:c>
    </x:row>
    <x:row r="74" ht="38" customHeight="1">
      <x:c r="A74" s="7" t="str">
        <x:v>208838</x:v>
      </x:c>
      <x:c r="B74" s="12" t="str">
        <x:v>Camp - Winter Break Thrills: Week of 12/21 (Ages 6-8)</x:v>
      </x:c>
      <x:c r="C74" s="12" t="str">
        <x:v>Southwest Cmty Ctr</x:v>
      </x:c>
      <x:c r="D74" s="12" t="str">
        <x:v>Camp - Day</x:v>
      </x:c>
      <x:c r="E74" s="7" t="str">
        <x:v>future</x:v>
      </x:c>
      <x:c r="F74" s="7" t="str">
        <x:v>2026-12-21</x:v>
      </x:c>
      <x:c r="G74" s="7" t="str">
        <x:v>2026-12-23</x:v>
      </x:c>
      <x:c r="H74" s="7" t="n">
        <x:v>0</x:v>
      </x:c>
      <x:c r="I74" s="7"/>
      <x:c r="J74" s="7" t="n">
        <x:v>20</x:v>
      </x:c>
      <x:c r="K74" s="7" t="str">
        <x:v>unverified-denominator</x:v>
      </x:c>
      <x:c r="L74" s="7" t="d">
        <x:v>2026-09-16T05:12:38.111Z</x:v>
      </x:c>
      <x:c r="M74" s="7" t="str">
        <x:v>https://apm.activecommunities.com/portlandparks/Activity_Search/camp---winter-break-thrills-week-of-12-21-ages-6-8/208838?locale=en-US</x:v>
      </x:c>
    </x:row>
    <x:row r="75" ht="38" customHeight="1">
      <x:c r="A75" s="8" t="str">
        <x:v>208840</x:v>
      </x:c>
      <x:c r="B75" s="11" t="str">
        <x:v>Camp - Winter Break Thrills: Week of 12/21 (Ages 9-11)</x:v>
      </x:c>
      <x:c r="C75" s="11" t="str">
        <x:v>Southwest Cmty Ctr</x:v>
      </x:c>
      <x:c r="D75" s="11" t="str">
        <x:v>Camp - Day</x:v>
      </x:c>
      <x:c r="E75" s="8" t="str">
        <x:v>future</x:v>
      </x:c>
      <x:c r="F75" s="8" t="str">
        <x:v>2026-12-21</x:v>
      </x:c>
      <x:c r="G75" s="8" t="str">
        <x:v>2026-12-23</x:v>
      </x:c>
      <x:c r="H75" s="8" t="n">
        <x:v>0</x:v>
      </x:c>
      <x:c r="I75" s="8"/>
      <x:c r="J75" s="8" t="n">
        <x:v>20</x:v>
      </x:c>
      <x:c r="K75" s="8" t="str">
        <x:v>unverified-denominator</x:v>
      </x:c>
      <x:c r="L75" s="8" t="d">
        <x:v>2026-09-16T05:12:38.111Z</x:v>
      </x:c>
      <x:c r="M75" s="8" t="str">
        <x:v>https://apm.activecommunities.com/portlandparks/Activity_Search/camp---winter-break-thrills-week-of-12-21-ages-9-11/208840?locale=en-US</x:v>
      </x:c>
    </x:row>
    <x:row r="76" ht="38" customHeight="1">
      <x:c r="A76" s="7" t="str">
        <x:v>208724</x:v>
      </x:c>
      <x:c r="B76" s="12" t="str">
        <x:v>Camp - Winter Break Thrills: Week of 12/21 (Grades 1-3)</x:v>
      </x:c>
      <x:c r="C76" s="12" t="str">
        <x:v>Mt Scott Cmty Ctr</x:v>
      </x:c>
      <x:c r="D76" s="12" t="str">
        <x:v>Camp - Day</x:v>
      </x:c>
      <x:c r="E76" s="7" t="str">
        <x:v>future</x:v>
      </x:c>
      <x:c r="F76" s="7" t="str">
        <x:v>2026-12-21</x:v>
      </x:c>
      <x:c r="G76" s="7" t="str">
        <x:v>2026-12-23</x:v>
      </x:c>
      <x:c r="H76" s="7" t="n">
        <x:v>0</x:v>
      </x:c>
      <x:c r="I76" s="7"/>
      <x:c r="J76" s="7" t="n">
        <x:v>26</x:v>
      </x:c>
      <x:c r="K76" s="7" t="str">
        <x:v>unverified-denominator</x:v>
      </x:c>
      <x:c r="L76" s="7" t="d">
        <x:v>2026-09-16T05:12:38.111Z</x:v>
      </x:c>
      <x:c r="M76" s="7" t="str">
        <x:v>https://apm.activecommunities.com/portlandparks/Activity_Search/camp---winter-break-thrills-week-of-12-21-grades-1-3/208724?locale=en-US</x:v>
      </x:c>
    </x:row>
    <x:row r="77" ht="38" customHeight="1">
      <x:c r="A77" s="8" t="str">
        <x:v>208719</x:v>
      </x:c>
      <x:c r="B77" s="11" t="str">
        <x:v>Camp - Winter Break Thrills: Week of 12/21 (Grades 1-5)</x:v>
      </x:c>
      <x:c r="C77" s="11" t="str">
        <x:v>Matt Dishman Cmty Ctr</x:v>
      </x:c>
      <x:c r="D77" s="11" t="str">
        <x:v>Camp - Day</x:v>
      </x:c>
      <x:c r="E77" s="8" t="str">
        <x:v>future</x:v>
      </x:c>
      <x:c r="F77" s="8" t="str">
        <x:v>2026-12-21</x:v>
      </x:c>
      <x:c r="G77" s="8" t="str">
        <x:v>2026-12-24</x:v>
      </x:c>
      <x:c r="H77" s="8" t="n">
        <x:v>0</x:v>
      </x:c>
      <x:c r="I77" s="8"/>
      <x:c r="J77" s="8" t="n">
        <x:v>30</x:v>
      </x:c>
      <x:c r="K77" s="8" t="str">
        <x:v>unverified-denominator</x:v>
      </x:c>
      <x:c r="L77" s="8" t="d">
        <x:v>2026-09-16T05:12:38.111Z</x:v>
      </x:c>
      <x:c r="M77" s="8" t="str">
        <x:v>https://apm.activecommunities.com/portlandparks/Activity_Search/camp---winter-break-thrills-week-of-12-21-grades-1-5/208719?locale=en-US</x:v>
      </x:c>
    </x:row>
    <x:row r="78" ht="38" customHeight="1">
      <x:c r="A78" s="7" t="str">
        <x:v>209038</x:v>
      </x:c>
      <x:c r="B78" s="12" t="str">
        <x:v>Camp - Winter Break Thrills: Week of 12/21 (Grades 1-5)</x:v>
      </x:c>
      <x:c r="C78" s="12" t="str">
        <x:v>Montavilla Cmty Ctr</x:v>
      </x:c>
      <x:c r="D78" s="12" t="str">
        <x:v>Camp - Day</x:v>
      </x:c>
      <x:c r="E78" s="7" t="str">
        <x:v>future</x:v>
      </x:c>
      <x:c r="F78" s="7" t="str">
        <x:v>2026-12-21</x:v>
      </x:c>
      <x:c r="G78" s="7" t="str">
        <x:v>2026-12-24</x:v>
      </x:c>
      <x:c r="H78" s="7" t="n">
        <x:v>0</x:v>
      </x:c>
      <x:c r="I78" s="7"/>
      <x:c r="J78" s="7" t="n">
        <x:v>30</x:v>
      </x:c>
      <x:c r="K78" s="7" t="str">
        <x:v>unverified-denominator</x:v>
      </x:c>
      <x:c r="L78" s="7" t="d">
        <x:v>2026-09-16T05:12:38.111Z</x:v>
      </x:c>
      <x:c r="M78" s="7" t="str">
        <x:v>https://apm.activecommunities.com/portlandparks/Activity_Search/camp---winter-break-thrills-week-of-12-21-grades-1-5/209038?locale=en-US</x:v>
      </x:c>
    </x:row>
    <x:row r="79" ht="38" customHeight="1">
      <x:c r="A79" s="8" t="str">
        <x:v>208760</x:v>
      </x:c>
      <x:c r="B79" s="11" t="str">
        <x:v>Camp - Winter Break Thrills: Week of 12/21 (Grades 3-5)</x:v>
      </x:c>
      <x:c r="C79" s="11" t="str">
        <x:v>East Portland Cmty Ctr</x:v>
      </x:c>
      <x:c r="D79" s="11" t="str">
        <x:v>Camp - Day</x:v>
      </x:c>
      <x:c r="E79" s="8" t="str">
        <x:v>future</x:v>
      </x:c>
      <x:c r="F79" s="8" t="str">
        <x:v>2026-12-21</x:v>
      </x:c>
      <x:c r="G79" s="8" t="str">
        <x:v>2026-12-24</x:v>
      </x:c>
      <x:c r="H79" s="8" t="n">
        <x:v>0</x:v>
      </x:c>
      <x:c r="I79" s="8"/>
      <x:c r="J79" s="8" t="n">
        <x:v>25</x:v>
      </x:c>
      <x:c r="K79" s="8" t="str">
        <x:v>unverified-denominator</x:v>
      </x:c>
      <x:c r="L79" s="8" t="d">
        <x:v>2026-09-16T05:12:38.111Z</x:v>
      </x:c>
      <x:c r="M79" s="8" t="str">
        <x:v>https://apm.activecommunities.com/portlandparks/Activity_Search/camp---winter-break-thrills-week-of-12-21-grades-3-5/208760?locale=en-US</x:v>
      </x:c>
    </x:row>
    <x:row r="80" ht="38" customHeight="1">
      <x:c r="A80" s="7" t="str">
        <x:v>208726</x:v>
      </x:c>
      <x:c r="B80" s="12" t="str">
        <x:v>Camp - Winter Break Thrills: Week of 12/21 (Grades 4-6)</x:v>
      </x:c>
      <x:c r="C80" s="12" t="str">
        <x:v>Mt Scott Cmty Ctr</x:v>
      </x:c>
      <x:c r="D80" s="12" t="str">
        <x:v>Camp - Day</x:v>
      </x:c>
      <x:c r="E80" s="7" t="str">
        <x:v>future</x:v>
      </x:c>
      <x:c r="F80" s="7" t="str">
        <x:v>2026-12-21</x:v>
      </x:c>
      <x:c r="G80" s="7" t="str">
        <x:v>2026-12-23</x:v>
      </x:c>
      <x:c r="H80" s="7" t="n">
        <x:v>0</x:v>
      </x:c>
      <x:c r="I80" s="7"/>
      <x:c r="J80" s="7" t="n">
        <x:v>30</x:v>
      </x:c>
      <x:c r="K80" s="7" t="str">
        <x:v>unverified-denominator</x:v>
      </x:c>
      <x:c r="L80" s="7" t="d">
        <x:v>2026-09-16T05:12:38.111Z</x:v>
      </x:c>
      <x:c r="M80" s="7" t="str">
        <x:v>https://apm.activecommunities.com/portlandparks/Activity_Search/camp---winter-break-thrills-week-of-12-21-grades-4-6/208726?locale=en-US</x:v>
      </x:c>
    </x:row>
    <x:row r="81" ht="38" customHeight="1">
      <x:c r="A81" s="8" t="str">
        <x:v>208756</x:v>
      </x:c>
      <x:c r="B81" s="11" t="str">
        <x:v>Camp - Winter Break Thrills: Week of 12/21 (Grades K-2)</x:v>
      </x:c>
      <x:c r="C81" s="11" t="str">
        <x:v>East Portland Cmty Ctr</x:v>
      </x:c>
      <x:c r="D81" s="11" t="str">
        <x:v>Camp - Day</x:v>
      </x:c>
      <x:c r="E81" s="8" t="str">
        <x:v>future</x:v>
      </x:c>
      <x:c r="F81" s="8" t="str">
        <x:v>2026-12-21</x:v>
      </x:c>
      <x:c r="G81" s="8" t="str">
        <x:v>2026-12-24</x:v>
      </x:c>
      <x:c r="H81" s="8" t="n">
        <x:v>0</x:v>
      </x:c>
      <x:c r="I81" s="8"/>
      <x:c r="J81" s="8" t="n">
        <x:v>20</x:v>
      </x:c>
      <x:c r="K81" s="8" t="str">
        <x:v>unverified-denominator</x:v>
      </x:c>
      <x:c r="L81" s="8" t="d">
        <x:v>2026-09-16T05:12:38.111Z</x:v>
      </x:c>
      <x:c r="M81" s="8" t="str">
        <x:v>https://apm.activecommunities.com/portlandparks/Activity_Search/camp---winter-break-thrills-week-of-12-21-grades-k-2/208756?locale=en-US</x:v>
      </x:c>
    </x:row>
    <x:row r="82" ht="38" customHeight="1">
      <x:c r="A82" s="7" t="str">
        <x:v>208644</x:v>
      </x:c>
      <x:c r="B82" s="12" t="str">
        <x:v>Camp - Winter Break Thrills: Week of 12/21 (Grades K-5)</x:v>
      </x:c>
      <x:c r="C82" s="12" t="str">
        <x:v>Charles Jordan Cmty Ctr</x:v>
      </x:c>
      <x:c r="D82" s="12" t="str">
        <x:v>Camp - Day</x:v>
      </x:c>
      <x:c r="E82" s="7" t="str">
        <x:v>future</x:v>
      </x:c>
      <x:c r="F82" s="7" t="str">
        <x:v>2026-12-21</x:v>
      </x:c>
      <x:c r="G82" s="7" t="str">
        <x:v>2026-12-24</x:v>
      </x:c>
      <x:c r="H82" s="7" t="n">
        <x:v>0</x:v>
      </x:c>
      <x:c r="I82" s="7"/>
      <x:c r="J82" s="7" t="n">
        <x:v>30</x:v>
      </x:c>
      <x:c r="K82" s="7" t="str">
        <x:v>unverified-denominator</x:v>
      </x:c>
      <x:c r="L82" s="7" t="d">
        <x:v>2026-09-16T05:12:38.111Z</x:v>
      </x:c>
      <x:c r="M82" s="7" t="str">
        <x:v>https://apm.activecommunities.com/portlandparks/Activity_Search/camp---winter-break-thrills-week-of-12-21-grades-k-5/208644?locale=en-US</x:v>
      </x:c>
    </x:row>
    <x:row r="83" ht="38" customHeight="1">
      <x:c r="A83" s="8" t="str">
        <x:v>208084</x:v>
      </x:c>
      <x:c r="B83" s="11" t="str">
        <x:v>Camp - Winter Break Thrills: Week of 12/21 (Grades K-5)</x:v>
      </x:c>
      <x:c r="C83" s="11" t="str">
        <x:v>Peninsula Park Cmty Ctr</x:v>
      </x:c>
      <x:c r="D83" s="11" t="str">
        <x:v>Camp - Day</x:v>
      </x:c>
      <x:c r="E83" s="8" t="str">
        <x:v>future</x:v>
      </x:c>
      <x:c r="F83" s="8" t="str">
        <x:v>2026-12-21</x:v>
      </x:c>
      <x:c r="G83" s="8" t="str">
        <x:v>2026-12-24</x:v>
      </x:c>
      <x:c r="H83" s="8" t="n">
        <x:v>0</x:v>
      </x:c>
      <x:c r="I83" s="8"/>
      <x:c r="J83" s="8" t="n">
        <x:v>30</x:v>
      </x:c>
      <x:c r="K83" s="8" t="str">
        <x:v>unverified-denominator</x:v>
      </x:c>
      <x:c r="L83" s="8" t="d">
        <x:v>2026-09-16T05:12:38.111Z</x:v>
      </x:c>
      <x:c r="M83" s="8" t="str">
        <x:v>https://apm.activecommunities.com/portlandparks/Activity_Search/camp---winter-break-thrills-week-of-12-21-grades-k-5/208084?locale=en-US</x:v>
      </x:c>
    </x:row>
    <x:row r="84" ht="38" customHeight="1">
      <x:c r="A84" s="7" t="str">
        <x:v>208876</x:v>
      </x:c>
      <x:c r="B84" s="12" t="str">
        <x:v>Camp - Winter Break Thrills: Week of 12/21 (Grades K-5)</x:v>
      </x:c>
      <x:c r="C84" s="12" t="str">
        <x:v>St Johns Cmty Ctr</x:v>
      </x:c>
      <x:c r="D84" s="12" t="str">
        <x:v>Camp - Day</x:v>
      </x:c>
      <x:c r="E84" s="7" t="str">
        <x:v>future</x:v>
      </x:c>
      <x:c r="F84" s="7" t="str">
        <x:v>2026-12-21</x:v>
      </x:c>
      <x:c r="G84" s="7" t="str">
        <x:v>2026-12-24</x:v>
      </x:c>
      <x:c r="H84" s="7" t="n">
        <x:v>0</x:v>
      </x:c>
      <x:c r="I84" s="7"/>
      <x:c r="J84" s="7" t="n">
        <x:v>44</x:v>
      </x:c>
      <x:c r="K84" s="7" t="str">
        <x:v>unverified-denominator</x:v>
      </x:c>
      <x:c r="L84" s="7" t="d">
        <x:v>2026-09-16T05:12:38.111Z</x:v>
      </x:c>
      <x:c r="M84" s="7" t="str">
        <x:v>https://apm.activecommunities.com/portlandparks/Activity_Search/camp---winter-break-thrills-week-of-12-21-grades-k-5/208876?locale=en-US</x:v>
      </x:c>
    </x:row>
    <x:row r="85" ht="38" customHeight="1">
      <x:c r="A85" s="8" t="str">
        <x:v>208839</x:v>
      </x:c>
      <x:c r="B85" s="11" t="str">
        <x:v>Camp - Winter Break Thrills: Week of 12/28 (Ages 6-8)</x:v>
      </x:c>
      <x:c r="C85" s="11" t="str">
        <x:v>Southwest Cmty Ctr</x:v>
      </x:c>
      <x:c r="D85" s="11" t="str">
        <x:v>Camp - Day</x:v>
      </x:c>
      <x:c r="E85" s="8" t="str">
        <x:v>future</x:v>
      </x:c>
      <x:c r="F85" s="8" t="str">
        <x:v>2026-12-28</x:v>
      </x:c>
      <x:c r="G85" s="8" t="str">
        <x:v>2026-12-30</x:v>
      </x:c>
      <x:c r="H85" s="8" t="n">
        <x:v>0</x:v>
      </x:c>
      <x:c r="I85" s="8"/>
      <x:c r="J85" s="8" t="n">
        <x:v>20</x:v>
      </x:c>
      <x:c r="K85" s="8" t="str">
        <x:v>unverified-denominator</x:v>
      </x:c>
      <x:c r="L85" s="8" t="d">
        <x:v>2026-09-16T05:12:38.111Z</x:v>
      </x:c>
      <x:c r="M85" s="8" t="str">
        <x:v>https://apm.activecommunities.com/portlandparks/Activity_Search/camp---winter-break-thrills-week-of-12-28-ages-6-8/208839?locale=en-US</x:v>
      </x:c>
    </x:row>
    <x:row r="86" ht="38" customHeight="1">
      <x:c r="A86" s="7" t="str">
        <x:v>208841</x:v>
      </x:c>
      <x:c r="B86" s="12" t="str">
        <x:v>Camp - Winter Break Thrills: Week of 12/28 (Ages 9-11)</x:v>
      </x:c>
      <x:c r="C86" s="12" t="str">
        <x:v>Southwest Cmty Ctr</x:v>
      </x:c>
      <x:c r="D86" s="12" t="str">
        <x:v>Camp - Day</x:v>
      </x:c>
      <x:c r="E86" s="7" t="str">
        <x:v>future</x:v>
      </x:c>
      <x:c r="F86" s="7" t="str">
        <x:v>2026-12-28</x:v>
      </x:c>
      <x:c r="G86" s="7" t="str">
        <x:v>2026-12-30</x:v>
      </x:c>
      <x:c r="H86" s="7" t="n">
        <x:v>0</x:v>
      </x:c>
      <x:c r="I86" s="7"/>
      <x:c r="J86" s="7" t="n">
        <x:v>20</x:v>
      </x:c>
      <x:c r="K86" s="7" t="str">
        <x:v>unverified-denominator</x:v>
      </x:c>
      <x:c r="L86" s="7" t="d">
        <x:v>2026-09-16T05:12:38.111Z</x:v>
      </x:c>
      <x:c r="M86" s="7" t="str">
        <x:v>https://apm.activecommunities.com/portlandparks/Activity_Search/camp---winter-break-thrills-week-of-12-28-ages-9-11/208841?locale=en-US</x:v>
      </x:c>
    </x:row>
    <x:row r="87" ht="38" customHeight="1">
      <x:c r="A87" s="8" t="str">
        <x:v>208725</x:v>
      </x:c>
      <x:c r="B87" s="11" t="str">
        <x:v>Camp - Winter Break Thrills: Week of 12/28 (Grades 1-3)</x:v>
      </x:c>
      <x:c r="C87" s="11" t="str">
        <x:v>Mt Scott Cmty Ctr</x:v>
      </x:c>
      <x:c r="D87" s="11" t="str">
        <x:v>Camp - Day</x:v>
      </x:c>
      <x:c r="E87" s="8" t="str">
        <x:v>future</x:v>
      </x:c>
      <x:c r="F87" s="8" t="str">
        <x:v>2026-12-28</x:v>
      </x:c>
      <x:c r="G87" s="8" t="str">
        <x:v>2026-12-30</x:v>
      </x:c>
      <x:c r="H87" s="8" t="n">
        <x:v>0</x:v>
      </x:c>
      <x:c r="I87" s="8"/>
      <x:c r="J87" s="8" t="n">
        <x:v>26</x:v>
      </x:c>
      <x:c r="K87" s="8" t="str">
        <x:v>unverified-denominator</x:v>
      </x:c>
      <x:c r="L87" s="8" t="d">
        <x:v>2026-09-16T05:12:38.111Z</x:v>
      </x:c>
      <x:c r="M87" s="8" t="str">
        <x:v>https://apm.activecommunities.com/portlandparks/Activity_Search/camp---winter-break-thrills-week-of-12-28-grades-1-3/208725?locale=en-US</x:v>
      </x:c>
    </x:row>
    <x:row r="88" ht="38" customHeight="1">
      <x:c r="A88" s="7" t="str">
        <x:v>208720</x:v>
      </x:c>
      <x:c r="B88" s="12" t="str">
        <x:v>Camp - Winter Break Thrills: Week of 12/28 (Grades 1-5)</x:v>
      </x:c>
      <x:c r="C88" s="12" t="str">
        <x:v>Matt Dishman Cmty Ctr</x:v>
      </x:c>
      <x:c r="D88" s="12" t="str">
        <x:v>Camp - Day</x:v>
      </x:c>
      <x:c r="E88" s="7" t="str">
        <x:v>future</x:v>
      </x:c>
      <x:c r="F88" s="7" t="str">
        <x:v>2026-12-28</x:v>
      </x:c>
      <x:c r="G88" s="7" t="str">
        <x:v>2026-12-31</x:v>
      </x:c>
      <x:c r="H88" s="7" t="n">
        <x:v>0</x:v>
      </x:c>
      <x:c r="I88" s="7"/>
      <x:c r="J88" s="7" t="n">
        <x:v>30</x:v>
      </x:c>
      <x:c r="K88" s="7" t="str">
        <x:v>unverified-denominator</x:v>
      </x:c>
      <x:c r="L88" s="7" t="d">
        <x:v>2026-09-16T05:12:38.111Z</x:v>
      </x:c>
      <x:c r="M88" s="7" t="str">
        <x:v>https://apm.activecommunities.com/portlandparks/Activity_Search/camp---winter-break-thrills-week-of-12-28-grades-1-5/208720?locale=en-US</x:v>
      </x:c>
    </x:row>
    <x:row r="89" ht="38" customHeight="1">
      <x:c r="A89" s="8" t="str">
        <x:v>209039</x:v>
      </x:c>
      <x:c r="B89" s="11" t="str">
        <x:v>Camp - Winter Break Thrills: Week of 12/28 (Grades 1-5)</x:v>
      </x:c>
      <x:c r="C89" s="11" t="str">
        <x:v>Montavilla Cmty Ctr</x:v>
      </x:c>
      <x:c r="D89" s="11" t="str">
        <x:v>Camp - Day</x:v>
      </x:c>
      <x:c r="E89" s="8" t="str">
        <x:v>future</x:v>
      </x:c>
      <x:c r="F89" s="8" t="str">
        <x:v>2026-12-28</x:v>
      </x:c>
      <x:c r="G89" s="8" t="str">
        <x:v>2026-12-31</x:v>
      </x:c>
      <x:c r="H89" s="8" t="n">
        <x:v>0</x:v>
      </x:c>
      <x:c r="I89" s="8"/>
      <x:c r="J89" s="8" t="n">
        <x:v>30</x:v>
      </x:c>
      <x:c r="K89" s="8" t="str">
        <x:v>unverified-denominator</x:v>
      </x:c>
      <x:c r="L89" s="8" t="d">
        <x:v>2026-09-16T05:12:38.111Z</x:v>
      </x:c>
      <x:c r="M89" s="8" t="str">
        <x:v>https://apm.activecommunities.com/portlandparks/Activity_Search/camp---winter-break-thrills-week-of-12-28-grades-1-5/209039?locale=en-US</x:v>
      </x:c>
    </x:row>
    <x:row r="90" ht="38" customHeight="1">
      <x:c r="A90" s="7" t="str">
        <x:v>208759</x:v>
      </x:c>
      <x:c r="B90" s="12" t="str">
        <x:v>Camp - Winter Break Thrills: Week of 12/28 (Grades 3-5)</x:v>
      </x:c>
      <x:c r="C90" s="12" t="str">
        <x:v>East Portland Cmty Ctr</x:v>
      </x:c>
      <x:c r="D90" s="12" t="str">
        <x:v>Camp - Day</x:v>
      </x:c>
      <x:c r="E90" s="7" t="str">
        <x:v>future</x:v>
      </x:c>
      <x:c r="F90" s="7" t="str">
        <x:v>2026-12-28</x:v>
      </x:c>
      <x:c r="G90" s="7" t="str">
        <x:v>2026-12-31</x:v>
      </x:c>
      <x:c r="H90" s="7" t="n">
        <x:v>0</x:v>
      </x:c>
      <x:c r="I90" s="7"/>
      <x:c r="J90" s="7" t="n">
        <x:v>25</x:v>
      </x:c>
      <x:c r="K90" s="7" t="str">
        <x:v>unverified-denominator</x:v>
      </x:c>
      <x:c r="L90" s="7" t="d">
        <x:v>2026-09-16T05:12:38.111Z</x:v>
      </x:c>
      <x:c r="M90" s="7" t="str">
        <x:v>https://apm.activecommunities.com/portlandparks/Activity_Search/camp---winter-break-thrills-week-of-12-28-grades-3-5/208759?locale=en-US</x:v>
      </x:c>
    </x:row>
    <x:row r="91" ht="38" customHeight="1">
      <x:c r="A91" s="8" t="str">
        <x:v>208727</x:v>
      </x:c>
      <x:c r="B91" s="11" t="str">
        <x:v>Camp - Winter Break Thrills: Week of 12/28 (Grades 4-6)</x:v>
      </x:c>
      <x:c r="C91" s="11" t="str">
        <x:v>Mt Scott Cmty Ctr</x:v>
      </x:c>
      <x:c r="D91" s="11" t="str">
        <x:v>Camp - Day</x:v>
      </x:c>
      <x:c r="E91" s="8" t="str">
        <x:v>future</x:v>
      </x:c>
      <x:c r="F91" s="8" t="str">
        <x:v>2026-12-28</x:v>
      </x:c>
      <x:c r="G91" s="8" t="str">
        <x:v>2026-12-30</x:v>
      </x:c>
      <x:c r="H91" s="8" t="n">
        <x:v>0</x:v>
      </x:c>
      <x:c r="I91" s="8"/>
      <x:c r="J91" s="8" t="n">
        <x:v>30</x:v>
      </x:c>
      <x:c r="K91" s="8" t="str">
        <x:v>unverified-denominator</x:v>
      </x:c>
      <x:c r="L91" s="8" t="d">
        <x:v>2026-09-16T05:12:38.111Z</x:v>
      </x:c>
      <x:c r="M91" s="8" t="str">
        <x:v>https://apm.activecommunities.com/portlandparks/Activity_Search/camp---winter-break-thrills-week-of-12-28-grades-4-6/208727?locale=en-US</x:v>
      </x:c>
    </x:row>
    <x:row r="92" ht="38" customHeight="1">
      <x:c r="A92" s="7" t="str">
        <x:v>208758</x:v>
      </x:c>
      <x:c r="B92" s="12" t="str">
        <x:v>Camp - Winter Break Thrills: Week of 12/28 (Grades K-2)</x:v>
      </x:c>
      <x:c r="C92" s="12" t="str">
        <x:v>East Portland Cmty Ctr</x:v>
      </x:c>
      <x:c r="D92" s="12" t="str">
        <x:v>Camp - Day</x:v>
      </x:c>
      <x:c r="E92" s="7" t="str">
        <x:v>future</x:v>
      </x:c>
      <x:c r="F92" s="7" t="str">
        <x:v>2026-12-28</x:v>
      </x:c>
      <x:c r="G92" s="7" t="str">
        <x:v>2026-12-31</x:v>
      </x:c>
      <x:c r="H92" s="7" t="n">
        <x:v>0</x:v>
      </x:c>
      <x:c r="I92" s="7"/>
      <x:c r="J92" s="7" t="n">
        <x:v>25</x:v>
      </x:c>
      <x:c r="K92" s="7" t="str">
        <x:v>unverified-denominator</x:v>
      </x:c>
      <x:c r="L92" s="7" t="d">
        <x:v>2026-09-16T05:12:38.111Z</x:v>
      </x:c>
      <x:c r="M92" s="7" t="str">
        <x:v>https://apm.activecommunities.com/portlandparks/Activity_Search/camp---winter-break-thrills-week-of-12-28-grades-k-2/208758?locale=en-US</x:v>
      </x:c>
    </x:row>
    <x:row r="93" ht="38" customHeight="1">
      <x:c r="A93" s="8" t="str">
        <x:v>208645</x:v>
      </x:c>
      <x:c r="B93" s="11" t="str">
        <x:v>Camp - Winter Break Thrills: Week of 12/28 (Grades K-5)</x:v>
      </x:c>
      <x:c r="C93" s="11" t="str">
        <x:v>Charles Jordan Cmty Ctr</x:v>
      </x:c>
      <x:c r="D93" s="11" t="str">
        <x:v>Camp - Day</x:v>
      </x:c>
      <x:c r="E93" s="8" t="str">
        <x:v>future</x:v>
      </x:c>
      <x:c r="F93" s="8" t="str">
        <x:v>2026-12-28</x:v>
      </x:c>
      <x:c r="G93" s="8" t="str">
        <x:v>2026-12-31</x:v>
      </x:c>
      <x:c r="H93" s="8" t="n">
        <x:v>0</x:v>
      </x:c>
      <x:c r="I93" s="8"/>
      <x:c r="J93" s="8" t="n">
        <x:v>30</x:v>
      </x:c>
      <x:c r="K93" s="8" t="str">
        <x:v>unverified-denominator</x:v>
      </x:c>
      <x:c r="L93" s="8" t="d">
        <x:v>2026-09-16T05:12:38.111Z</x:v>
      </x:c>
      <x:c r="M93" s="8" t="str">
        <x:v>https://apm.activecommunities.com/portlandparks/Activity_Search/camp---winter-break-thrills-week-of-12-28-grades-k-5/208645?locale=en-US</x:v>
      </x:c>
    </x:row>
    <x:row r="94" ht="38" customHeight="1">
      <x:c r="A94" s="7" t="str">
        <x:v>208085</x:v>
      </x:c>
      <x:c r="B94" s="12" t="str">
        <x:v>Camp - Winter Break Thrills: Week of 12/28 (Grades K-5)</x:v>
      </x:c>
      <x:c r="C94" s="12" t="str">
        <x:v>Peninsula Park Cmty Ctr</x:v>
      </x:c>
      <x:c r="D94" s="12" t="str">
        <x:v>Camp - Day</x:v>
      </x:c>
      <x:c r="E94" s="7" t="str">
        <x:v>future</x:v>
      </x:c>
      <x:c r="F94" s="7" t="str">
        <x:v>2026-12-28</x:v>
      </x:c>
      <x:c r="G94" s="7" t="str">
        <x:v>2026-12-31</x:v>
      </x:c>
      <x:c r="H94" s="7" t="n">
        <x:v>0</x:v>
      </x:c>
      <x:c r="I94" s="7"/>
      <x:c r="J94" s="7" t="n">
        <x:v>30</x:v>
      </x:c>
      <x:c r="K94" s="7" t="str">
        <x:v>unverified-denominator</x:v>
      </x:c>
      <x:c r="L94" s="7" t="d">
        <x:v>2026-09-16T05:12:38.111Z</x:v>
      </x:c>
      <x:c r="M94" s="7" t="str">
        <x:v>https://apm.activecommunities.com/portlandparks/Activity_Search/camp---winter-break-thrills-week-of-12-28-grades-k-5/208085?locale=en-US</x:v>
      </x:c>
    </x:row>
    <x:row r="95" ht="38" customHeight="1">
      <x:c r="A95" s="8" t="str">
        <x:v>208877</x:v>
      </x:c>
      <x:c r="B95" s="11" t="str">
        <x:v>Camp - Winter Break Thrills: Week of 12/28 (Grades K-5)</x:v>
      </x:c>
      <x:c r="C95" s="11" t="str">
        <x:v>St Johns Cmty Ctr</x:v>
      </x:c>
      <x:c r="D95" s="11" t="str">
        <x:v>Camp - Day</x:v>
      </x:c>
      <x:c r="E95" s="8" t="str">
        <x:v>future</x:v>
      </x:c>
      <x:c r="F95" s="8" t="str">
        <x:v>2026-12-28</x:v>
      </x:c>
      <x:c r="G95" s="8" t="str">
        <x:v>2026-12-31</x:v>
      </x:c>
      <x:c r="H95" s="8" t="n">
        <x:v>0</x:v>
      </x:c>
      <x:c r="I95" s="8"/>
      <x:c r="J95" s="8" t="n">
        <x:v>44</x:v>
      </x:c>
      <x:c r="K95" s="8" t="str">
        <x:v>unverified-denominator</x:v>
      </x:c>
      <x:c r="L95" s="8" t="d">
        <x:v>2026-09-16T05:12:38.111Z</x:v>
      </x:c>
      <x:c r="M95" s="8" t="str">
        <x:v>https://apm.activecommunities.com/portlandparks/Activity_Search/camp---winter-break-thrills-week-of-12-28-grades-k-5/208877?locale=en-US</x:v>
      </x:c>
    </x:row>
    <x:row r="96" ht="38" customHeight="1">
      <x:c r="A96" s="7" t="str">
        <x:v>208874</x:v>
      </x:c>
      <x:c r="B96" s="12" t="str">
        <x:v>Camp - Winter Friends: Week of 12/21 (Ages 3-5)</x:v>
      </x:c>
      <x:c r="C96" s="12" t="str">
        <x:v>St Johns Cmty Ctr</x:v>
      </x:c>
      <x:c r="D96" s="12" t="str">
        <x:v>Camp - Day</x:v>
      </x:c>
      <x:c r="E96" s="7" t="str">
        <x:v>future</x:v>
      </x:c>
      <x:c r="F96" s="7" t="str">
        <x:v>2026-12-21</x:v>
      </x:c>
      <x:c r="G96" s="7" t="str">
        <x:v>2026-12-24</x:v>
      </x:c>
      <x:c r="H96" s="7" t="n">
        <x:v>0</x:v>
      </x:c>
      <x:c r="I96" s="7"/>
      <x:c r="J96" s="7" t="n">
        <x:v>12</x:v>
      </x:c>
      <x:c r="K96" s="7" t="str">
        <x:v>unverified-denominator</x:v>
      </x:c>
      <x:c r="L96" s="7" t="d">
        <x:v>2026-09-16T05:12:38.111Z</x:v>
      </x:c>
      <x:c r="M96" s="7" t="str">
        <x:v>https://apm.activecommunities.com/portlandparks/Activity_Search/camp---winter-friends-week-of-12-21-ages-3-5/208874?locale=en-US</x:v>
      </x:c>
    </x:row>
    <x:row r="97" ht="38" customHeight="1">
      <x:c r="A97" s="8" t="str">
        <x:v>208836</x:v>
      </x:c>
      <x:c r="B97" s="11" t="str">
        <x:v>Camp - Winter Friends: Week of 12/21 (Ages 3-5)</x:v>
      </x:c>
      <x:c r="C97" s="11" t="str">
        <x:v>Southwest Cmty Ctr</x:v>
      </x:c>
      <x:c r="D97" s="11" t="str">
        <x:v>Camp - Day</x:v>
      </x:c>
      <x:c r="E97" s="8" t="str">
        <x:v>future</x:v>
      </x:c>
      <x:c r="F97" s="8" t="str">
        <x:v>2026-12-21</x:v>
      </x:c>
      <x:c r="G97" s="8" t="str">
        <x:v>2026-12-23</x:v>
      </x:c>
      <x:c r="H97" s="8" t="n">
        <x:v>0</x:v>
      </x:c>
      <x:c r="I97" s="8"/>
      <x:c r="J97" s="8" t="n">
        <x:v>12</x:v>
      </x:c>
      <x:c r="K97" s="8" t="str">
        <x:v>unverified-denominator</x:v>
      </x:c>
      <x:c r="L97" s="8" t="d">
        <x:v>2026-09-16T05:12:38.111Z</x:v>
      </x:c>
      <x:c r="M97" s="8" t="str">
        <x:v>https://apm.activecommunities.com/portlandparks/Activity_Search/camp---winter-friends-week-of-12-21-ages-3-5/208836?locale=en-US</x:v>
      </x:c>
    </x:row>
    <x:row r="98" ht="38" customHeight="1">
      <x:c r="A98" s="7" t="str">
        <x:v>208664</x:v>
      </x:c>
      <x:c r="B98" s="12" t="str">
        <x:v>Camp - Winter Friends: Week of 12/21 (Ages 3-5)</x:v>
      </x:c>
      <x:c r="C98" s="12" t="str">
        <x:v>Matt Dishman Cmty Ctr</x:v>
      </x:c>
      <x:c r="D98" s="12" t="str">
        <x:v>Camp - Day</x:v>
      </x:c>
      <x:c r="E98" s="7" t="str">
        <x:v>future</x:v>
      </x:c>
      <x:c r="F98" s="7" t="str">
        <x:v>2026-12-21</x:v>
      </x:c>
      <x:c r="G98" s="7" t="str">
        <x:v>2026-12-23</x:v>
      </x:c>
      <x:c r="H98" s="7" t="n">
        <x:v>0</x:v>
      </x:c>
      <x:c r="I98" s="7"/>
      <x:c r="J98" s="7" t="n">
        <x:v>10</x:v>
      </x:c>
      <x:c r="K98" s="7" t="str">
        <x:v>unverified-denominator</x:v>
      </x:c>
      <x:c r="L98" s="7" t="d">
        <x:v>2026-09-16T05:12:38.111Z</x:v>
      </x:c>
      <x:c r="M98" s="7" t="str">
        <x:v>https://apm.activecommunities.com/portlandparks/Activity_Search/camp---winter-friends-week-of-12-21-ages-3-5/208664?locale=en-US</x:v>
      </x:c>
    </x:row>
    <x:row r="99" ht="38" customHeight="1">
      <x:c r="A99" s="8" t="str">
        <x:v>207615</x:v>
      </x:c>
      <x:c r="B99" s="11" t="str">
        <x:v>Camp - Winter Friends: Week of 12/21 (Ages 3-5)</x:v>
      </x:c>
      <x:c r="C99" s="11" t="str">
        <x:v>Charles Jordan Cmty Ctr</x:v>
      </x:c>
      <x:c r="D99" s="11" t="str">
        <x:v>Camp - Day</x:v>
      </x:c>
      <x:c r="E99" s="8" t="str">
        <x:v>future</x:v>
      </x:c>
      <x:c r="F99" s="8" t="str">
        <x:v>2026-12-21</x:v>
      </x:c>
      <x:c r="G99" s="8" t="str">
        <x:v>2026-12-24</x:v>
      </x:c>
      <x:c r="H99" s="8" t="n">
        <x:v>0</x:v>
      </x:c>
      <x:c r="I99" s="8"/>
      <x:c r="J99" s="8" t="n">
        <x:v>15</x:v>
      </x:c>
      <x:c r="K99" s="8" t="str">
        <x:v>unverified-denominator</x:v>
      </x:c>
      <x:c r="L99" s="8" t="d">
        <x:v>2026-09-16T05:12:38.111Z</x:v>
      </x:c>
      <x:c r="M99" s="8" t="str">
        <x:v>https://apm.activecommunities.com/portlandparks/Activity_Search/camp---winter-friends-week-of-12-21-ages-3-5/207615?locale=en-US</x:v>
      </x:c>
    </x:row>
    <x:row r="100" ht="38" customHeight="1">
      <x:c r="A100" s="7" t="str">
        <x:v>208750</x:v>
      </x:c>
      <x:c r="B100" s="12" t="str">
        <x:v>Camp - Winter Friends: Week of 12/21 AM (Ages 3-5)</x:v>
      </x:c>
      <x:c r="C100" s="12" t="str">
        <x:v>East Portland Cmty Ctr</x:v>
      </x:c>
      <x:c r="D100" s="12" t="str">
        <x:v>Camp - Day</x:v>
      </x:c>
      <x:c r="E100" s="7" t="str">
        <x:v>future</x:v>
      </x:c>
      <x:c r="F100" s="7" t="str">
        <x:v>2026-12-21</x:v>
      </x:c>
      <x:c r="G100" s="7" t="str">
        <x:v>2026-12-24</x:v>
      </x:c>
      <x:c r="H100" s="7" t="n">
        <x:v>0</x:v>
      </x:c>
      <x:c r="I100" s="7"/>
      <x:c r="J100" s="7" t="n">
        <x:v>14</x:v>
      </x:c>
      <x:c r="K100" s="7" t="str">
        <x:v>unverified-denominator</x:v>
      </x:c>
      <x:c r="L100" s="7" t="d">
        <x:v>2026-09-16T05:12:38.111Z</x:v>
      </x:c>
      <x:c r="M100" s="7" t="str">
        <x:v>https://apm.activecommunities.com/portlandparks/Activity_Search/camp---winter-friends-week-of-12-21-am-ages-3-5/208750?locale=en-US</x:v>
      </x:c>
    </x:row>
    <x:row r="101" ht="38" customHeight="1">
      <x:c r="A101" s="8" t="str">
        <x:v>208752</x:v>
      </x:c>
      <x:c r="B101" s="11" t="str">
        <x:v>Camp - Winter Friends: Week of 12/21 PM (Ages 3-5)</x:v>
      </x:c>
      <x:c r="C101" s="11" t="str">
        <x:v>East Portland Cmty Ctr</x:v>
      </x:c>
      <x:c r="D101" s="11" t="str">
        <x:v>Camp - Day</x:v>
      </x:c>
      <x:c r="E101" s="8" t="str">
        <x:v>future</x:v>
      </x:c>
      <x:c r="F101" s="8" t="str">
        <x:v>2026-12-21</x:v>
      </x:c>
      <x:c r="G101" s="8" t="str">
        <x:v>2026-12-23</x:v>
      </x:c>
      <x:c r="H101" s="8" t="n">
        <x:v>0</x:v>
      </x:c>
      <x:c r="I101" s="8"/>
      <x:c r="J101" s="8" t="n">
        <x:v>14</x:v>
      </x:c>
      <x:c r="K101" s="8" t="str">
        <x:v>unverified-denominator</x:v>
      </x:c>
      <x:c r="L101" s="8" t="d">
        <x:v>2026-09-16T05:12:38.111Z</x:v>
      </x:c>
      <x:c r="M101" s="8" t="str">
        <x:v>https://apm.activecommunities.com/portlandparks/Activity_Search/camp---winter-friends-week-of-12-21-pm-ages-3-5/208752?locale=en-US</x:v>
      </x:c>
    </x:row>
    <x:row r="102" ht="38" customHeight="1">
      <x:c r="A102" s="7" t="str">
        <x:v>208665</x:v>
      </x:c>
      <x:c r="B102" s="12" t="str">
        <x:v>Camp - Winter Friends: Week of 12/28 (Ages 3-5)</x:v>
      </x:c>
      <x:c r="C102" s="12" t="str">
        <x:v>Matt Dishman Cmty Ctr</x:v>
      </x:c>
      <x:c r="D102" s="12" t="str">
        <x:v>Camp - Day</x:v>
      </x:c>
      <x:c r="E102" s="7" t="str">
        <x:v>future</x:v>
      </x:c>
      <x:c r="F102" s="7" t="str">
        <x:v>2026-12-28</x:v>
      </x:c>
      <x:c r="G102" s="7" t="str">
        <x:v>2026-12-31</x:v>
      </x:c>
      <x:c r="H102" s="7" t="n">
        <x:v>0</x:v>
      </x:c>
      <x:c r="I102" s="7"/>
      <x:c r="J102" s="7" t="n">
        <x:v>10</x:v>
      </x:c>
      <x:c r="K102" s="7" t="str">
        <x:v>unverified-denominator</x:v>
      </x:c>
      <x:c r="L102" s="7" t="d">
        <x:v>2026-09-16T05:12:38.111Z</x:v>
      </x:c>
      <x:c r="M102" s="7" t="str">
        <x:v>https://apm.activecommunities.com/portlandparks/Activity_Search/camp---winter-friends-week-of-12-28-ages-3-5/208665?locale=en-US</x:v>
      </x:c>
    </x:row>
    <x:row r="103" ht="38" customHeight="1">
      <x:c r="A103" s="8" t="str">
        <x:v>207616</x:v>
      </x:c>
      <x:c r="B103" s="11" t="str">
        <x:v>Camp - Winter Friends: Week of 12/28 (Ages 3-5)</x:v>
      </x:c>
      <x:c r="C103" s="11" t="str">
        <x:v>Charles Jordan Cmty Ctr</x:v>
      </x:c>
      <x:c r="D103" s="11" t="str">
        <x:v>Camp - Day</x:v>
      </x:c>
      <x:c r="E103" s="8" t="str">
        <x:v>future</x:v>
      </x:c>
      <x:c r="F103" s="8" t="str">
        <x:v>2026-12-28</x:v>
      </x:c>
      <x:c r="G103" s="8" t="str">
        <x:v>2026-12-31</x:v>
      </x:c>
      <x:c r="H103" s="8" t="n">
        <x:v>0</x:v>
      </x:c>
      <x:c r="I103" s="8"/>
      <x:c r="J103" s="8" t="n">
        <x:v>15</x:v>
      </x:c>
      <x:c r="K103" s="8" t="str">
        <x:v>unverified-denominator</x:v>
      </x:c>
      <x:c r="L103" s="8" t="d">
        <x:v>2026-09-16T05:12:38.111Z</x:v>
      </x:c>
      <x:c r="M103" s="8" t="str">
        <x:v>https://apm.activecommunities.com/portlandparks/Activity_Search/camp---winter-friends-week-of-12-28-ages-3-5/207616?locale=en-US</x:v>
      </x:c>
    </x:row>
    <x:row r="104" ht="38" customHeight="1">
      <x:c r="A104" s="7" t="str">
        <x:v>208837</x:v>
      </x:c>
      <x:c r="B104" s="12" t="str">
        <x:v>Camp - Winter Friends: Week of 12/28 (Ages 3-5)</x:v>
      </x:c>
      <x:c r="C104" s="12" t="str">
        <x:v>Southwest Cmty Ctr</x:v>
      </x:c>
      <x:c r="D104" s="12" t="str">
        <x:v>Camp - Day</x:v>
      </x:c>
      <x:c r="E104" s="7" t="str">
        <x:v>future</x:v>
      </x:c>
      <x:c r="F104" s="7" t="str">
        <x:v>2026-12-28</x:v>
      </x:c>
      <x:c r="G104" s="7" t="str">
        <x:v>2026-12-30</x:v>
      </x:c>
      <x:c r="H104" s="7" t="n">
        <x:v>0</x:v>
      </x:c>
      <x:c r="I104" s="7"/>
      <x:c r="J104" s="7" t="n">
        <x:v>12</x:v>
      </x:c>
      <x:c r="K104" s="7" t="str">
        <x:v>unverified-denominator</x:v>
      </x:c>
      <x:c r="L104" s="7" t="d">
        <x:v>2026-09-16T05:12:38.111Z</x:v>
      </x:c>
      <x:c r="M104" s="7" t="str">
        <x:v>https://apm.activecommunities.com/portlandparks/Activity_Search/camp---winter-friends-week-of-12-28-ages-3-5/208837?locale=en-US</x:v>
      </x:c>
    </x:row>
    <x:row r="105" ht="38" customHeight="1">
      <x:c r="A105" s="8" t="str">
        <x:v>208875</x:v>
      </x:c>
      <x:c r="B105" s="11" t="str">
        <x:v>Camp - Winter Friends: Week of 12/28 (Ages 3-5)</x:v>
      </x:c>
      <x:c r="C105" s="11" t="str">
        <x:v>St Johns Cmty Ctr</x:v>
      </x:c>
      <x:c r="D105" s="11" t="str">
        <x:v>Camp - Day</x:v>
      </x:c>
      <x:c r="E105" s="8" t="str">
        <x:v>future</x:v>
      </x:c>
      <x:c r="F105" s="8" t="str">
        <x:v>2026-12-28</x:v>
      </x:c>
      <x:c r="G105" s="8" t="str">
        <x:v>2026-12-31</x:v>
      </x:c>
      <x:c r="H105" s="8" t="n">
        <x:v>0</x:v>
      </x:c>
      <x:c r="I105" s="8"/>
      <x:c r="J105" s="8" t="n">
        <x:v>12</x:v>
      </x:c>
      <x:c r="K105" s="8" t="str">
        <x:v>unverified-denominator</x:v>
      </x:c>
      <x:c r="L105" s="8" t="d">
        <x:v>2026-09-16T05:12:38.111Z</x:v>
      </x:c>
      <x:c r="M105" s="8" t="str">
        <x:v>https://apm.activecommunities.com/portlandparks/Activity_Search/camp---winter-friends-week-of-12-28-ages-3-5/208875?locale=en-US</x:v>
      </x:c>
    </x:row>
    <x:row r="106" ht="38" customHeight="1">
      <x:c r="A106" s="7" t="str">
        <x:v>208753</x:v>
      </x:c>
      <x:c r="B106" s="12" t="str">
        <x:v>Camp - Winter Friends: Week of 12/28 AM (Ages 3-5)</x:v>
      </x:c>
      <x:c r="C106" s="12" t="str">
        <x:v>East Portland Cmty Ctr</x:v>
      </x:c>
      <x:c r="D106" s="12" t="str">
        <x:v>Camp - Day</x:v>
      </x:c>
      <x:c r="E106" s="7" t="str">
        <x:v>future</x:v>
      </x:c>
      <x:c r="F106" s="7" t="str">
        <x:v>2026-12-28</x:v>
      </x:c>
      <x:c r="G106" s="7" t="str">
        <x:v>2026-12-31</x:v>
      </x:c>
      <x:c r="H106" s="7" t="n">
        <x:v>0</x:v>
      </x:c>
      <x:c r="I106" s="7"/>
      <x:c r="J106" s="7" t="n">
        <x:v>14</x:v>
      </x:c>
      <x:c r="K106" s="7" t="str">
        <x:v>unverified-denominator</x:v>
      </x:c>
      <x:c r="L106" s="7" t="d">
        <x:v>2026-09-16T05:12:38.111Z</x:v>
      </x:c>
      <x:c r="M106" s="7" t="str">
        <x:v>https://apm.activecommunities.com/portlandparks/Activity_Search/camp---winter-friends-week-of-12-28-am-ages-3-5/208753?locale=en-US</x:v>
      </x:c>
    </x:row>
    <x:row r="107" ht="38" customHeight="1">
      <x:c r="A107" s="8" t="str">
        <x:v>208754</x:v>
      </x:c>
      <x:c r="B107" s="11" t="str">
        <x:v>Camp - Winter Friends: Week of 12/28 PM (Ages 3-5)</x:v>
      </x:c>
      <x:c r="C107" s="11" t="str">
        <x:v>East Portland Cmty Ctr</x:v>
      </x:c>
      <x:c r="D107" s="11" t="str">
        <x:v>Camp - Day</x:v>
      </x:c>
      <x:c r="E107" s="8" t="str">
        <x:v>future</x:v>
      </x:c>
      <x:c r="F107" s="8" t="str">
        <x:v>2026-12-28</x:v>
      </x:c>
      <x:c r="G107" s="8" t="str">
        <x:v>2026-12-30</x:v>
      </x:c>
      <x:c r="H107" s="8" t="n">
        <x:v>0</x:v>
      </x:c>
      <x:c r="I107" s="8"/>
      <x:c r="J107" s="8" t="n">
        <x:v>14</x:v>
      </x:c>
      <x:c r="K107" s="8" t="str">
        <x:v>unverified-denominator</x:v>
      </x:c>
      <x:c r="L107" s="8" t="d">
        <x:v>2026-09-16T05:12:38.111Z</x:v>
      </x:c>
      <x:c r="M107" s="8" t="str">
        <x:v>https://apm.activecommunities.com/portlandparks/Activity_Search/camp---winter-friends-week-of-12-28-pm-ages-3-5/208754?locale=en-US</x:v>
      </x:c>
    </x:row>
    <x:row r="108" ht="38" customHeight="1">
      <x:c r="A108" s="7" t="str">
        <x:v>207856</x:v>
      </x:c>
      <x:c r="B108" s="12" t="str">
        <x:v>Ceramics -  Handbuilding &amp; Sculpture</x:v>
      </x:c>
      <x:c r="C108" s="12" t="str">
        <x:v>Rosewood Initiative</x:v>
      </x:c>
      <x:c r="D108" s="12" t="str">
        <x:v>Arts &amp; Crafts - Clay &amp; Sculpture</x:v>
      </x:c>
      <x:c r="E108" s="7" t="str">
        <x:v>future</x:v>
      </x:c>
      <x:c r="F108" s="7" t="str">
        <x:v>2026-10-01</x:v>
      </x:c>
      <x:c r="G108" s="7" t="str">
        <x:v>2026-12-10</x:v>
      </x:c>
      <x:c r="H108" s="7" t="n">
        <x:v>6</x:v>
      </x:c>
      <x:c r="I108" s="7"/>
      <x:c r="J108" s="7" t="n">
        <x:v>10</x:v>
      </x:c>
      <x:c r="K108" s="7" t="str">
        <x:v>unverified-denominator</x:v>
      </x:c>
      <x:c r="L108" s="7" t="d">
        <x:v>2026-09-16T05:12:38.111Z</x:v>
      </x:c>
      <x:c r="M108" s="7" t="str">
        <x:v>https://apm.activecommunities.com/portlandparks/Activity_Search/ceramics---handbuilding-sculpture/207856?locale=en-US</x:v>
      </x:c>
    </x:row>
    <x:row r="109" ht="38" customHeight="1">
      <x:c r="A109" s="8" t="str">
        <x:v>207159</x:v>
      </x:c>
      <x:c r="B109" s="11" t="str">
        <x:v>Ceramics - Hand &amp; Wheel: Intermediate</x:v>
      </x:c>
      <x:c r="C109" s="11" t="str">
        <x:v>Multnomah Arts Ctr</x:v>
      </x:c>
      <x:c r="D109" s="11" t="str">
        <x:v>Arts &amp; Crafts - Clay &amp; Sculpture</x:v>
      </x:c>
      <x:c r="E109" s="8" t="str">
        <x:v>future</x:v>
      </x:c>
      <x:c r="F109" s="8" t="str">
        <x:v>2026-09-29</x:v>
      </x:c>
      <x:c r="G109" s="8" t="str">
        <x:v>2026-12-15</x:v>
      </x:c>
      <x:c r="H109" s="8" t="n">
        <x:v>16</x:v>
      </x:c>
      <x:c r="I109" s="8" t="n">
        <x:v>19</x:v>
      </x:c>
      <x:c r="J109" s="8" t="n">
        <x:v>16</x:v>
      </x:c>
      <x:c r="K109" s="8" t="str">
        <x:v>unverified-denominator</x:v>
      </x:c>
      <x:c r="L109" s="8" t="d">
        <x:v>2026-09-16T05:12:38.111Z</x:v>
      </x:c>
      <x:c r="M109" s="8" t="str">
        <x:v>https://apm.activecommunities.com/portlandparks/Activity_Search/ceramics---hand-wheel-intermediate/207159?locale=en-US</x:v>
      </x:c>
    </x:row>
    <x:row r="110" ht="38" customHeight="1">
      <x:c r="A110" s="7" t="str">
        <x:v>207160</x:v>
      </x:c>
      <x:c r="B110" s="12" t="str">
        <x:v>Ceramics - Hand &amp; Wheel: Seniors</x:v>
      </x:c>
      <x:c r="C110" s="12" t="str">
        <x:v>Multnomah Arts Ctr</x:v>
      </x:c>
      <x:c r="D110" s="12" t="str">
        <x:v>Arts &amp; Crafts - Clay &amp; Sculpture</x:v>
      </x:c>
      <x:c r="E110" s="7" t="str">
        <x:v>future</x:v>
      </x:c>
      <x:c r="F110" s="7" t="str">
        <x:v>2026-09-28</x:v>
      </x:c>
      <x:c r="G110" s="7" t="str">
        <x:v>2026-12-07</x:v>
      </x:c>
      <x:c r="H110" s="7" t="n">
        <x:v>16</x:v>
      </x:c>
      <x:c r="I110" s="7" t="n">
        <x:v>7</x:v>
      </x:c>
      <x:c r="J110" s="7" t="n">
        <x:v>16</x:v>
      </x:c>
      <x:c r="K110" s="7" t="str">
        <x:v>unverified-denominator</x:v>
      </x:c>
      <x:c r="L110" s="7" t="d">
        <x:v>2026-09-16T05:12:38.111Z</x:v>
      </x:c>
      <x:c r="M110" s="7" t="str">
        <x:v>https://apm.activecommunities.com/portlandparks/Activity_Search/ceramics---hand-wheel-seniors/207160?locale=en-US</x:v>
      </x:c>
    </x:row>
    <x:row r="111" ht="38" customHeight="1">
      <x:c r="A111" s="8" t="str">
        <x:v>207857</x:v>
      </x:c>
      <x:c r="B111" s="11" t="str">
        <x:v>Ceramics - Handbuilding &amp; Sculpture</x:v>
      </x:c>
      <x:c r="C111" s="11" t="str">
        <x:v>Rosewood Initiative</x:v>
      </x:c>
      <x:c r="D111" s="11" t="str">
        <x:v>Arts &amp; Crafts - Clay &amp; Sculpture</x:v>
      </x:c>
      <x:c r="E111" s="8" t="str">
        <x:v>future</x:v>
      </x:c>
      <x:c r="F111" s="8" t="str">
        <x:v>2026-10-01</x:v>
      </x:c>
      <x:c r="G111" s="8" t="str">
        <x:v>2026-12-10</x:v>
      </x:c>
      <x:c r="H111" s="8" t="n">
        <x:v>6</x:v>
      </x:c>
      <x:c r="I111" s="8"/>
      <x:c r="J111" s="8" t="n">
        <x:v>10</x:v>
      </x:c>
      <x:c r="K111" s="8" t="str">
        <x:v>unverified-denominator</x:v>
      </x:c>
      <x:c r="L111" s="8" t="d">
        <x:v>2026-09-16T05:12:38.111Z</x:v>
      </x:c>
      <x:c r="M111" s="8" t="str">
        <x:v>https://apm.activecommunities.com/portlandparks/Activity_Search/ceramics---handbuilding-sculpture/207857?locale=en-US</x:v>
      </x:c>
    </x:row>
    <x:row r="112" ht="38" customHeight="1">
      <x:c r="A112" s="7" t="str">
        <x:v>207161</x:v>
      </x:c>
      <x:c r="B112" s="12" t="str">
        <x:v>Ceramics - Handbuilding: Intermediate</x:v>
      </x:c>
      <x:c r="C112" s="12" t="str">
        <x:v>Multnomah Arts Ctr</x:v>
      </x:c>
      <x:c r="D112" s="12" t="str">
        <x:v>Arts &amp; Crafts - Clay &amp; Sculpture</x:v>
      </x:c>
      <x:c r="E112" s="7" t="str">
        <x:v>future</x:v>
      </x:c>
      <x:c r="F112" s="7" t="str">
        <x:v>2026-09-30</x:v>
      </x:c>
      <x:c r="G112" s="7" t="str">
        <x:v>2026-12-09</x:v>
      </x:c>
      <x:c r="H112" s="7" t="n">
        <x:v>16</x:v>
      </x:c>
      <x:c r="I112" s="7" t="n">
        <x:v>8</x:v>
      </x:c>
      <x:c r="J112" s="7" t="n">
        <x:v>16</x:v>
      </x:c>
      <x:c r="K112" s="7" t="str">
        <x:v>unverified-denominator</x:v>
      </x:c>
      <x:c r="L112" s="7" t="d">
        <x:v>2026-09-16T05:12:38.111Z</x:v>
      </x:c>
      <x:c r="M112" s="7" t="str">
        <x:v>https://apm.activecommunities.com/portlandparks/Activity_Search/ceramics---handbuilding-intermediate/207161?locale=en-US</x:v>
      </x:c>
    </x:row>
    <x:row r="113" ht="38" customHeight="1">
      <x:c r="A113" s="8" t="str">
        <x:v>207162</x:v>
      </x:c>
      <x:c r="B113" s="11" t="str">
        <x:v>Ceramics - Handbuilding: Intermediate</x:v>
      </x:c>
      <x:c r="C113" s="11" t="str">
        <x:v>Multnomah Arts Ctr</x:v>
      </x:c>
      <x:c r="D113" s="11" t="str">
        <x:v>Arts &amp; Crafts - Clay &amp; Sculpture</x:v>
      </x:c>
      <x:c r="E113" s="8" t="str">
        <x:v>future</x:v>
      </x:c>
      <x:c r="F113" s="8" t="str">
        <x:v>2026-09-28</x:v>
      </x:c>
      <x:c r="G113" s="8" t="str">
        <x:v>2026-12-07</x:v>
      </x:c>
      <x:c r="H113" s="8" t="n">
        <x:v>16</x:v>
      </x:c>
      <x:c r="I113" s="8" t="n">
        <x:v>17</x:v>
      </x:c>
      <x:c r="J113" s="8" t="n">
        <x:v>16</x:v>
      </x:c>
      <x:c r="K113" s="8" t="str">
        <x:v>unverified-denominator</x:v>
      </x:c>
      <x:c r="L113" s="8" t="d">
        <x:v>2026-09-16T05:12:38.111Z</x:v>
      </x:c>
      <x:c r="M113" s="8" t="str">
        <x:v>https://apm.activecommunities.com/portlandparks/Activity_Search/ceramics---handbuilding-intermediate/207162?locale=en-US</x:v>
      </x:c>
    </x:row>
    <x:row r="114" ht="38" customHeight="1">
      <x:c r="A114" s="7" t="str">
        <x:v>207163</x:v>
      </x:c>
      <x:c r="B114" s="12" t="str">
        <x:v>Ceramics - Intro to Ceramics</x:v>
      </x:c>
      <x:c r="C114" s="12" t="str">
        <x:v>Multnomah Arts Ctr</x:v>
      </x:c>
      <x:c r="D114" s="12" t="str">
        <x:v>Arts &amp; Crafts - Clay &amp; Sculpture</x:v>
      </x:c>
      <x:c r="E114" s="7" t="str">
        <x:v>future</x:v>
      </x:c>
      <x:c r="F114" s="7" t="str">
        <x:v>2026-09-30</x:v>
      </x:c>
      <x:c r="G114" s="7" t="str">
        <x:v>2026-12-09</x:v>
      </x:c>
      <x:c r="H114" s="7" t="n">
        <x:v>16</x:v>
      </x:c>
      <x:c r="I114" s="7" t="n">
        <x:v>66</x:v>
      </x:c>
      <x:c r="J114" s="7" t="n">
        <x:v>16</x:v>
      </x:c>
      <x:c r="K114" s="7" t="str">
        <x:v>unverified-denominator</x:v>
      </x:c>
      <x:c r="L114" s="7" t="d">
        <x:v>2026-09-16T05:12:38.111Z</x:v>
      </x:c>
      <x:c r="M114" s="7" t="str">
        <x:v>https://apm.activecommunities.com/portlandparks/Activity_Search/ceramics---intro-to-ceramics/207163?locale=en-US</x:v>
      </x:c>
    </x:row>
    <x:row r="115" ht="38" customHeight="1">
      <x:c r="A115" s="8" t="str">
        <x:v>207164</x:v>
      </x:c>
      <x:c r="B115" s="11" t="str">
        <x:v>Ceramics - Intro to Ceramics</x:v>
      </x:c>
      <x:c r="C115" s="11" t="str">
        <x:v>Multnomah Arts Ctr</x:v>
      </x:c>
      <x:c r="D115" s="11" t="str">
        <x:v>Arts &amp; Crafts - Clay &amp; Sculpture</x:v>
      </x:c>
      <x:c r="E115" s="8" t="str">
        <x:v>future</x:v>
      </x:c>
      <x:c r="F115" s="8" t="str">
        <x:v>2026-10-02</x:v>
      </x:c>
      <x:c r="G115" s="8" t="str">
        <x:v>2026-12-11</x:v>
      </x:c>
      <x:c r="H115" s="8" t="n">
        <x:v>16</x:v>
      </x:c>
      <x:c r="I115" s="8" t="n">
        <x:v>17</x:v>
      </x:c>
      <x:c r="J115" s="8" t="n">
        <x:v>16</x:v>
      </x:c>
      <x:c r="K115" s="8" t="str">
        <x:v>unverified-denominator</x:v>
      </x:c>
      <x:c r="L115" s="8" t="d">
        <x:v>2026-09-16T05:12:38.111Z</x:v>
      </x:c>
      <x:c r="M115" s="8" t="str">
        <x:v>https://apm.activecommunities.com/portlandparks/Activity_Search/ceramics---intro-to-ceramics/207164?locale=en-US</x:v>
      </x:c>
    </x:row>
    <x:row r="116" ht="38" customHeight="1">
      <x:c r="A116" s="7" t="str">
        <x:v>207165</x:v>
      </x:c>
      <x:c r="B116" s="12" t="str">
        <x:v>Ceramics - Intro to Ceramics</x:v>
      </x:c>
      <x:c r="C116" s="12" t="str">
        <x:v>Multnomah Arts Ctr</x:v>
      </x:c>
      <x:c r="D116" s="12" t="str">
        <x:v>Arts &amp; Crafts - Clay &amp; Sculpture</x:v>
      </x:c>
      <x:c r="E116" s="7" t="str">
        <x:v>future</x:v>
      </x:c>
      <x:c r="F116" s="7" t="str">
        <x:v>2026-10-03</x:v>
      </x:c>
      <x:c r="G116" s="7" t="str">
        <x:v>2026-12-12</x:v>
      </x:c>
      <x:c r="H116" s="7" t="n">
        <x:v>16</x:v>
      </x:c>
      <x:c r="I116" s="7" t="n">
        <x:v>27</x:v>
      </x:c>
      <x:c r="J116" s="7" t="n">
        <x:v>16</x:v>
      </x:c>
      <x:c r="K116" s="7" t="str">
        <x:v>unverified-denominator</x:v>
      </x:c>
      <x:c r="L116" s="7" t="d">
        <x:v>2026-09-16T05:12:38.111Z</x:v>
      </x:c>
      <x:c r="M116" s="7" t="str">
        <x:v>https://apm.activecommunities.com/portlandparks/Activity_Search/ceramics---intro-to-ceramics/207165?locale=en-US</x:v>
      </x:c>
    </x:row>
    <x:row r="117" ht="38" customHeight="1">
      <x:c r="A117" s="8" t="str">
        <x:v>207858</x:v>
      </x:c>
      <x:c r="B117" s="11" t="str">
        <x:v>Ceramics - Intro to Ceramics</x:v>
      </x:c>
      <x:c r="C117" s="11" t="str">
        <x:v>Rosewood Initiative</x:v>
      </x:c>
      <x:c r="D117" s="11" t="str">
        <x:v>Arts &amp; Crafts - Clay &amp; Sculpture</x:v>
      </x:c>
      <x:c r="E117" s="8" t="str">
        <x:v>future</x:v>
      </x:c>
      <x:c r="F117" s="8" t="str">
        <x:v>2026-10-01</x:v>
      </x:c>
      <x:c r="G117" s="8" t="str">
        <x:v>2026-12-10</x:v>
      </x:c>
      <x:c r="H117" s="8" t="n">
        <x:v>3</x:v>
      </x:c>
      <x:c r="I117" s="8"/>
      <x:c r="J117" s="8" t="n">
        <x:v>10</x:v>
      </x:c>
      <x:c r="K117" s="8" t="str">
        <x:v>unverified-denominator</x:v>
      </x:c>
      <x:c r="L117" s="8" t="d">
        <x:v>2026-09-16T05:12:38.111Z</x:v>
      </x:c>
      <x:c r="M117" s="8" t="str">
        <x:v>https://apm.activecommunities.com/portlandparks/Activity_Search/ceramics---intro-to-ceramics/207858?locale=en-US</x:v>
      </x:c>
    </x:row>
    <x:row r="118" ht="38" customHeight="1">
      <x:c r="A118" s="7" t="str">
        <x:v>209074</x:v>
      </x:c>
      <x:c r="B118" s="12" t="str">
        <x:v>Ceramics - MAC Mug GLAZING Day: 10/23</x:v>
      </x:c>
      <x:c r="C118" s="12" t="str">
        <x:v>Multnomah Arts Ctr</x:v>
      </x:c>
      <x:c r="D118" s="12" t="str">
        <x:v>Arts &amp; Crafts - Clay &amp; Sculpture</x:v>
      </x:c>
      <x:c r="E118" s="7" t="str">
        <x:v>undated</x:v>
      </x:c>
      <x:c r="F118" s="7" t="str">
        <x:v>2026-10-23</x:v>
      </x:c>
      <x:c r="G118" s="7" t="str"/>
      <x:c r="H118" s="7" t="n">
        <x:v>8</x:v>
      </x:c>
      <x:c r="I118" s="7"/>
      <x:c r="J118" s="7" t="n">
        <x:v>16</x:v>
      </x:c>
      <x:c r="K118" s="7" t="str">
        <x:v>unverified-denominator</x:v>
      </x:c>
      <x:c r="L118" s="7" t="d">
        <x:v>2026-09-16T05:12:38.111Z</x:v>
      </x:c>
      <x:c r="M118" s="7" t="str">
        <x:v>https://apm.activecommunities.com/portlandparks/Activity_Search/ceramics---mac-mug-glazing-day-10-23/209074?locale=en-US</x:v>
      </x:c>
    </x:row>
    <x:row r="119" ht="38" customHeight="1">
      <x:c r="A119" s="8" t="str">
        <x:v>209071</x:v>
      </x:c>
      <x:c r="B119" s="11" t="str">
        <x:v>Ceramics - MAC Mug Making Day: HANDBUILDING 10/9</x:v>
      </x:c>
      <x:c r="C119" s="11" t="str">
        <x:v>Multnomah Arts Ctr</x:v>
      </x:c>
      <x:c r="D119" s="11" t="str">
        <x:v>Arts &amp; Crafts - Clay &amp; Sculpture</x:v>
      </x:c>
      <x:c r="E119" s="8" t="str">
        <x:v>undated</x:v>
      </x:c>
      <x:c r="F119" s="8" t="str">
        <x:v>2026-10-09</x:v>
      </x:c>
      <x:c r="G119" s="8" t="str"/>
      <x:c r="H119" s="8" t="n">
        <x:v>1</x:v>
      </x:c>
      <x:c r="I119" s="8"/>
      <x:c r="J119" s="8" t="n">
        <x:v>16</x:v>
      </x:c>
      <x:c r="K119" s="8" t="str">
        <x:v>unverified-denominator</x:v>
      </x:c>
      <x:c r="L119" s="8" t="d">
        <x:v>2026-09-16T05:12:38.111Z</x:v>
      </x:c>
      <x:c r="M119" s="8" t="str">
        <x:v>https://apm.activecommunities.com/portlandparks/Activity_Search/ceramics---mac-mug-making-day-handbuilding-10-9/209071?locale=en-US</x:v>
      </x:c>
    </x:row>
    <x:row r="120" ht="38" customHeight="1">
      <x:c r="A120" s="7" t="str">
        <x:v>209073</x:v>
      </x:c>
      <x:c r="B120" s="12" t="str">
        <x:v>Ceramics - MAC Mug Making Day: WHEELTHROWING10/9</x:v>
      </x:c>
      <x:c r="C120" s="12" t="str">
        <x:v>Multnomah Arts Ctr</x:v>
      </x:c>
      <x:c r="D120" s="12" t="str">
        <x:v>Arts &amp; Crafts - Clay &amp; Sculpture</x:v>
      </x:c>
      <x:c r="E120" s="7" t="str">
        <x:v>undated</x:v>
      </x:c>
      <x:c r="F120" s="7" t="str">
        <x:v>2026-10-09</x:v>
      </x:c>
      <x:c r="G120" s="7" t="str"/>
      <x:c r="H120" s="7" t="n">
        <x:v>6</x:v>
      </x:c>
      <x:c r="I120" s="7"/>
      <x:c r="J120" s="7" t="n">
        <x:v>16</x:v>
      </x:c>
      <x:c r="K120" s="7" t="str">
        <x:v>unverified-denominator</x:v>
      </x:c>
      <x:c r="L120" s="7" t="d">
        <x:v>2026-09-16T05:12:38.111Z</x:v>
      </x:c>
      <x:c r="M120" s="7" t="str">
        <x:v>https://apm.activecommunities.com/portlandparks/Activity_Search/ceramics---mac-mug-making-day-wheelthrowing10-9/209073?locale=en-US</x:v>
      </x:c>
    </x:row>
    <x:row r="121" ht="38" customHeight="1">
      <x:c r="A121" s="8" t="str">
        <x:v>208868</x:v>
      </x:c>
      <x:c r="B121" s="11" t="str">
        <x:v>Ceramics - RAKU Workshop 12/16</x:v>
      </x:c>
      <x:c r="C121" s="11" t="str">
        <x:v>Multnomah Arts Ctr</x:v>
      </x:c>
      <x:c r="D121" s="11" t="str">
        <x:v>Arts &amp; Crafts - Clay &amp; Sculpture</x:v>
      </x:c>
      <x:c r="E121" s="8" t="str">
        <x:v>undated</x:v>
      </x:c>
      <x:c r="F121" s="8" t="str">
        <x:v>2026-12-16</x:v>
      </x:c>
      <x:c r="G121" s="8" t="str"/>
      <x:c r="H121" s="8" t="n">
        <x:v>0</x:v>
      </x:c>
      <x:c r="I121" s="8"/>
      <x:c r="J121" s="8" t="n">
        <x:v>10</x:v>
      </x:c>
      <x:c r="K121" s="8" t="str">
        <x:v>unverified-denominator</x:v>
      </x:c>
      <x:c r="L121" s="8" t="d">
        <x:v>2026-09-16T05:12:38.111Z</x:v>
      </x:c>
      <x:c r="M121" s="8" t="str">
        <x:v>https://apm.activecommunities.com/portlandparks/Activity_Search/ceramics---raku-workshop-12-16/208868?locale=en-US</x:v>
      </x:c>
    </x:row>
    <x:row r="122" ht="38" customHeight="1">
      <x:c r="A122" s="7" t="str">
        <x:v>208869</x:v>
      </x:c>
      <x:c r="B122" s="12" t="str">
        <x:v>Ceramics - RAKU Workshop 12/17</x:v>
      </x:c>
      <x:c r="C122" s="12" t="str">
        <x:v>Multnomah Arts Ctr</x:v>
      </x:c>
      <x:c r="D122" s="12" t="str">
        <x:v>Arts &amp; Crafts - Clay &amp; Sculpture</x:v>
      </x:c>
      <x:c r="E122" s="7" t="str">
        <x:v>undated</x:v>
      </x:c>
      <x:c r="F122" s="7" t="str">
        <x:v>2026-12-17</x:v>
      </x:c>
      <x:c r="G122" s="7" t="str"/>
      <x:c r="H122" s="7" t="n">
        <x:v>0</x:v>
      </x:c>
      <x:c r="I122" s="7"/>
      <x:c r="J122" s="7" t="n">
        <x:v>10</x:v>
      </x:c>
      <x:c r="K122" s="7" t="str">
        <x:v>unverified-denominator</x:v>
      </x:c>
      <x:c r="L122" s="7" t="d">
        <x:v>2026-09-16T05:12:38.111Z</x:v>
      </x:c>
      <x:c r="M122" s="7" t="str">
        <x:v>https://apm.activecommunities.com/portlandparks/Activity_Search/ceramics---raku-workshop-12-17/208869?locale=en-US</x:v>
      </x:c>
    </x:row>
    <x:row r="123" ht="38" customHeight="1">
      <x:c r="A123" s="8" t="str">
        <x:v>207166</x:v>
      </x:c>
      <x:c r="B123" s="11" t="str">
        <x:v>Ceramics - Sculpture: Handbuilding &amp; Sculpture</x:v>
      </x:c>
      <x:c r="C123" s="11" t="str">
        <x:v>Multnomah Arts Ctr</x:v>
      </x:c>
      <x:c r="D123" s="11" t="str">
        <x:v>Arts &amp; Crafts - Clay &amp; Sculpture</x:v>
      </x:c>
      <x:c r="E123" s="8" t="str">
        <x:v>future</x:v>
      </x:c>
      <x:c r="F123" s="8" t="str">
        <x:v>2026-10-01</x:v>
      </x:c>
      <x:c r="G123" s="8" t="str">
        <x:v>2026-12-10</x:v>
      </x:c>
      <x:c r="H123" s="8" t="n">
        <x:v>16</x:v>
      </x:c>
      <x:c r="I123" s="8" t="n">
        <x:v>7</x:v>
      </x:c>
      <x:c r="J123" s="8" t="n">
        <x:v>16</x:v>
      </x:c>
      <x:c r="K123" s="8" t="str">
        <x:v>unverified-denominator</x:v>
      </x:c>
      <x:c r="L123" s="8" t="d">
        <x:v>2026-09-16T05:12:38.111Z</x:v>
      </x:c>
      <x:c r="M123" s="8" t="str">
        <x:v>https://apm.activecommunities.com/portlandparks/Activity_Search/ceramics---sculpture-handbuilding-sculpture/207166?locale=en-US</x:v>
      </x:c>
    </x:row>
    <x:row r="124" ht="38" customHeight="1">
      <x:c r="A124" s="7" t="str">
        <x:v>207167</x:v>
      </x:c>
      <x:c r="B124" s="12" t="str">
        <x:v>Ceramics - Slab Construction</x:v>
      </x:c>
      <x:c r="C124" s="12" t="str">
        <x:v>Multnomah Arts Ctr</x:v>
      </x:c>
      <x:c r="D124" s="12" t="str">
        <x:v>Arts &amp; Crafts - Clay &amp; Sculpture</x:v>
      </x:c>
      <x:c r="E124" s="7" t="str">
        <x:v>future</x:v>
      </x:c>
      <x:c r="F124" s="7" t="str">
        <x:v>2026-09-30</x:v>
      </x:c>
      <x:c r="G124" s="7" t="str">
        <x:v>2026-12-09</x:v>
      </x:c>
      <x:c r="H124" s="7" t="n">
        <x:v>15</x:v>
      </x:c>
      <x:c r="I124" s="7" t="n">
        <x:v>15</x:v>
      </x:c>
      <x:c r="J124" s="7" t="n">
        <x:v>16</x:v>
      </x:c>
      <x:c r="K124" s="7" t="str">
        <x:v>unverified-denominator</x:v>
      </x:c>
      <x:c r="L124" s="7" t="d">
        <x:v>2026-09-16T05:12:38.111Z</x:v>
      </x:c>
      <x:c r="M124" s="7" t="str">
        <x:v>https://apm.activecommunities.com/portlandparks/Activity_Search/ceramics---slab-construction/207167?locale=en-US</x:v>
      </x:c>
    </x:row>
    <x:row r="125" ht="38" customHeight="1">
      <x:c r="A125" s="8" t="str">
        <x:v>207184</x:v>
      </x:c>
      <x:c r="B125" s="11" t="str">
        <x:v>Ceramics - Teen: Wheelthrowing</x:v>
      </x:c>
      <x:c r="C125" s="11" t="str">
        <x:v>Multnomah Arts Ctr</x:v>
      </x:c>
      <x:c r="D125" s="11" t="str">
        <x:v>Arts &amp; Crafts - Clay &amp; Sculpture</x:v>
      </x:c>
      <x:c r="E125" s="8" t="str">
        <x:v>future</x:v>
      </x:c>
      <x:c r="F125" s="8" t="str">
        <x:v>2026-09-29</x:v>
      </x:c>
      <x:c r="G125" s="8" t="str">
        <x:v>2026-12-15</x:v>
      </x:c>
      <x:c r="H125" s="8" t="n">
        <x:v>8</x:v>
      </x:c>
      <x:c r="I125" s="8"/>
      <x:c r="J125" s="8" t="n">
        <x:v>10</x:v>
      </x:c>
      <x:c r="K125" s="8" t="str">
        <x:v>unverified-denominator</x:v>
      </x:c>
      <x:c r="L125" s="8" t="d">
        <x:v>2026-09-16T05:12:38.111Z</x:v>
      </x:c>
      <x:c r="M125" s="8" t="str">
        <x:v>https://apm.activecommunities.com/portlandparks/Activity_Search/ceramics---teen-wheelthrowing/207184?locale=en-US</x:v>
      </x:c>
    </x:row>
    <x:row r="126" ht="38" customHeight="1">
      <x:c r="A126" s="7" t="str">
        <x:v>207168</x:v>
      </x:c>
      <x:c r="B126" s="12" t="str">
        <x:v>Ceramics - Wheel Throwing: Advanced Techniques</x:v>
      </x:c>
      <x:c r="C126" s="12" t="str">
        <x:v>Multnomah Arts Ctr</x:v>
      </x:c>
      <x:c r="D126" s="12" t="str">
        <x:v>Arts &amp; Crafts - Clay &amp; Sculpture</x:v>
      </x:c>
      <x:c r="E126" s="7" t="str">
        <x:v>future</x:v>
      </x:c>
      <x:c r="F126" s="7" t="str">
        <x:v>2026-10-01</x:v>
      </x:c>
      <x:c r="G126" s="7" t="str">
        <x:v>2026-11-19</x:v>
      </x:c>
      <x:c r="H126" s="7" t="n">
        <x:v>16</x:v>
      </x:c>
      <x:c r="I126" s="7" t="n">
        <x:v>12</x:v>
      </x:c>
      <x:c r="J126" s="7" t="n">
        <x:v>16</x:v>
      </x:c>
      <x:c r="K126" s="7" t="str">
        <x:v>unverified-denominator</x:v>
      </x:c>
      <x:c r="L126" s="7" t="d">
        <x:v>2026-09-16T05:12:38.111Z</x:v>
      </x:c>
      <x:c r="M126" s="7" t="str">
        <x:v>https://apm.activecommunities.com/portlandparks/Activity_Search/ceramics---wheel-throwing-advanced-techniques/207168?locale=en-US</x:v>
      </x:c>
    </x:row>
    <x:row r="127" ht="38" customHeight="1">
      <x:c r="A127" s="8" t="str">
        <x:v>207169</x:v>
      </x:c>
      <x:c r="B127" s="11" t="str">
        <x:v>Ceramics - Wheel Throwing: Fundamentals</x:v>
      </x:c>
      <x:c r="C127" s="11" t="str">
        <x:v>Multnomah Arts Ctr</x:v>
      </x:c>
      <x:c r="D127" s="11" t="str">
        <x:v>Arts &amp; Crafts - Clay &amp; Sculpture</x:v>
      </x:c>
      <x:c r="E127" s="8" t="str">
        <x:v>future</x:v>
      </x:c>
      <x:c r="F127" s="8" t="str">
        <x:v>2026-10-01</x:v>
      </x:c>
      <x:c r="G127" s="8" t="str">
        <x:v>2026-12-10</x:v>
      </x:c>
      <x:c r="H127" s="8" t="n">
        <x:v>16</x:v>
      </x:c>
      <x:c r="I127" s="8" t="n">
        <x:v>17</x:v>
      </x:c>
      <x:c r="J127" s="8" t="n">
        <x:v>16</x:v>
      </x:c>
      <x:c r="K127" s="8" t="str">
        <x:v>unverified-denominator</x:v>
      </x:c>
      <x:c r="L127" s="8" t="d">
        <x:v>2026-09-16T05:12:38.111Z</x:v>
      </x:c>
      <x:c r="M127" s="8" t="str">
        <x:v>https://apm.activecommunities.com/portlandparks/Activity_Search/ceramics---wheel-throwing-fundamentals/207169?locale=en-US</x:v>
      </x:c>
    </x:row>
    <x:row r="128" ht="38" customHeight="1">
      <x:c r="A128" s="7" t="str">
        <x:v>207194</x:v>
      </x:c>
      <x:c r="B128" s="12" t="str">
        <x:v>Ceramics - Youth: Clay Creations</x:v>
      </x:c>
      <x:c r="C128" s="12" t="str">
        <x:v>Multnomah Arts Ctr</x:v>
      </x:c>
      <x:c r="D128" s="12" t="str">
        <x:v>Arts &amp; Crafts - Clay &amp; Sculpture</x:v>
      </x:c>
      <x:c r="E128" s="7" t="str">
        <x:v>future</x:v>
      </x:c>
      <x:c r="F128" s="7" t="str">
        <x:v>2026-09-30</x:v>
      </x:c>
      <x:c r="G128" s="7" t="str">
        <x:v>2026-10-28</x:v>
      </x:c>
      <x:c r="H128" s="7" t="n">
        <x:v>10</x:v>
      </x:c>
      <x:c r="I128" s="7"/>
      <x:c r="J128" s="7" t="n">
        <x:v>10</x:v>
      </x:c>
      <x:c r="K128" s="7" t="str">
        <x:v>unverified-denominator</x:v>
      </x:c>
      <x:c r="L128" s="7" t="d">
        <x:v>2026-09-16T05:12:38.111Z</x:v>
      </x:c>
      <x:c r="M128" s="7" t="str">
        <x:v>https://apm.activecommunities.com/portlandparks/Activity_Search/ceramics---youth-clay-creations/207194?locale=en-US</x:v>
      </x:c>
    </x:row>
    <x:row r="129" ht="38" customHeight="1">
      <x:c r="A129" s="8" t="str">
        <x:v>207195</x:v>
      </x:c>
      <x:c r="B129" s="11" t="str">
        <x:v>Ceramics - Youth: Clay Creations</x:v>
      </x:c>
      <x:c r="C129" s="11" t="str">
        <x:v>Multnomah Arts Ctr</x:v>
      </x:c>
      <x:c r="D129" s="11" t="str">
        <x:v>Arts &amp; Crafts - Clay &amp; Sculpture</x:v>
      </x:c>
      <x:c r="E129" s="8" t="str">
        <x:v>future</x:v>
      </x:c>
      <x:c r="F129" s="8" t="str">
        <x:v>2026-11-04</x:v>
      </x:c>
      <x:c r="G129" s="8" t="str">
        <x:v>2026-12-09</x:v>
      </x:c>
      <x:c r="H129" s="8" t="n">
        <x:v>0</x:v>
      </x:c>
      <x:c r="I129" s="8"/>
      <x:c r="J129" s="8" t="n">
        <x:v>10</x:v>
      </x:c>
      <x:c r="K129" s="8" t="str">
        <x:v>unverified-denominator</x:v>
      </x:c>
      <x:c r="L129" s="8" t="d">
        <x:v>2026-09-16T05:12:38.111Z</x:v>
      </x:c>
      <x:c r="M129" s="8" t="str">
        <x:v>https://apm.activecommunities.com/portlandparks/Activity_Search/ceramics---youth-clay-creations/207195?locale=en-US</x:v>
      </x:c>
    </x:row>
    <x:row r="130" ht="38" customHeight="1">
      <x:c r="A130" s="7" t="str">
        <x:v>207196</x:v>
      </x:c>
      <x:c r="B130" s="12" t="str">
        <x:v>Ceramics - Youth: Clay Creations</x:v>
      </x:c>
      <x:c r="C130" s="12" t="str">
        <x:v>Multnomah Arts Ctr</x:v>
      </x:c>
      <x:c r="D130" s="12" t="str">
        <x:v>Arts &amp; Crafts - Clay &amp; Sculpture</x:v>
      </x:c>
      <x:c r="E130" s="7" t="str">
        <x:v>future</x:v>
      </x:c>
      <x:c r="F130" s="7" t="str">
        <x:v>2026-09-30</x:v>
      </x:c>
      <x:c r="G130" s="7" t="str">
        <x:v>2026-10-28</x:v>
      </x:c>
      <x:c r="H130" s="7" t="n">
        <x:v>10</x:v>
      </x:c>
      <x:c r="I130" s="7"/>
      <x:c r="J130" s="7" t="n">
        <x:v>10</x:v>
      </x:c>
      <x:c r="K130" s="7" t="str">
        <x:v>unverified-denominator</x:v>
      </x:c>
      <x:c r="L130" s="7" t="d">
        <x:v>2026-09-16T05:12:38.111Z</x:v>
      </x:c>
      <x:c r="M130" s="7" t="str">
        <x:v>https://apm.activecommunities.com/portlandparks/Activity_Search/ceramics---youth-clay-creations/207196?locale=en-US</x:v>
      </x:c>
    </x:row>
    <x:row r="131" ht="38" customHeight="1">
      <x:c r="A131" s="8" t="str">
        <x:v>207197</x:v>
      </x:c>
      <x:c r="B131" s="11" t="str">
        <x:v>Ceramics - Youth: Clay Creations</x:v>
      </x:c>
      <x:c r="C131" s="11" t="str">
        <x:v>Multnomah Arts Ctr</x:v>
      </x:c>
      <x:c r="D131" s="11" t="str">
        <x:v>Arts &amp; Crafts - Clay &amp; Sculpture</x:v>
      </x:c>
      <x:c r="E131" s="8" t="str">
        <x:v>future</x:v>
      </x:c>
      <x:c r="F131" s="8" t="str">
        <x:v>2026-11-04</x:v>
      </x:c>
      <x:c r="G131" s="8" t="str">
        <x:v>2026-12-09</x:v>
      </x:c>
      <x:c r="H131" s="8" t="n">
        <x:v>0</x:v>
      </x:c>
      <x:c r="I131" s="8"/>
      <x:c r="J131" s="8" t="n">
        <x:v>10</x:v>
      </x:c>
      <x:c r="K131" s="8" t="str">
        <x:v>unverified-denominator</x:v>
      </x:c>
      <x:c r="L131" s="8" t="d">
        <x:v>2026-09-16T05:12:38.111Z</x:v>
      </x:c>
      <x:c r="M131" s="8" t="str">
        <x:v>https://apm.activecommunities.com/portlandparks/Activity_Search/ceramics---youth-clay-creations/207197?locale=en-US</x:v>
      </x:c>
    </x:row>
    <x:row r="132" ht="38" customHeight="1">
      <x:c r="A132" s="7" t="str">
        <x:v>208124</x:v>
      </x:c>
      <x:c r="B132" s="12" t="str">
        <x:v>Ceramics - Youth: Clay Creations</x:v>
      </x:c>
      <x:c r="C132" s="12" t="str">
        <x:v>Peninsula Park Cmty Ctr</x:v>
      </x:c>
      <x:c r="D132" s="12" t="str">
        <x:v>Arts &amp; Crafts - Clay &amp; Sculpture</x:v>
      </x:c>
      <x:c r="E132" s="7" t="str">
        <x:v>future</x:v>
      </x:c>
      <x:c r="F132" s="7" t="str">
        <x:v>2026-09-28</x:v>
      </x:c>
      <x:c r="G132" s="7" t="str">
        <x:v>2026-10-26</x:v>
      </x:c>
      <x:c r="H132" s="7" t="n">
        <x:v>1</x:v>
      </x:c>
      <x:c r="I132" s="7"/>
      <x:c r="J132" s="7" t="n">
        <x:v>10</x:v>
      </x:c>
      <x:c r="K132" s="7" t="str">
        <x:v>unverified-denominator</x:v>
      </x:c>
      <x:c r="L132" s="7" t="d">
        <x:v>2026-09-16T05:12:38.111Z</x:v>
      </x:c>
      <x:c r="M132" s="7" t="str">
        <x:v>https://apm.activecommunities.com/portlandparks/Activity_Search/ceramics---youth-clay-creations/208124?locale=en-US</x:v>
      </x:c>
    </x:row>
    <x:row r="133" ht="38" customHeight="1">
      <x:c r="A133" s="8" t="str">
        <x:v>208125</x:v>
      </x:c>
      <x:c r="B133" s="11" t="str">
        <x:v>Ceramics - Youth: Clay Creations</x:v>
      </x:c>
      <x:c r="C133" s="11" t="str">
        <x:v>Peninsula Park Cmty Ctr</x:v>
      </x:c>
      <x:c r="D133" s="11" t="str">
        <x:v>Arts &amp; Crafts - Clay &amp; Sculpture</x:v>
      </x:c>
      <x:c r="E133" s="8" t="str">
        <x:v>future</x:v>
      </x:c>
      <x:c r="F133" s="8" t="str">
        <x:v>2026-09-28</x:v>
      </x:c>
      <x:c r="G133" s="8" t="str">
        <x:v>2026-10-26</x:v>
      </x:c>
      <x:c r="H133" s="8" t="n">
        <x:v>3</x:v>
      </x:c>
      <x:c r="I133" s="8"/>
      <x:c r="J133" s="8" t="n">
        <x:v>10</x:v>
      </x:c>
      <x:c r="K133" s="8" t="str">
        <x:v>unverified-denominator</x:v>
      </x:c>
      <x:c r="L133" s="8" t="d">
        <x:v>2026-09-16T05:12:38.111Z</x:v>
      </x:c>
      <x:c r="M133" s="8" t="str">
        <x:v>https://apm.activecommunities.com/portlandparks/Activity_Search/ceramics---youth-clay-creations/208125?locale=en-US</x:v>
      </x:c>
    </x:row>
    <x:row r="134" ht="38" customHeight="1">
      <x:c r="A134" s="7" t="str">
        <x:v>208143</x:v>
      </x:c>
      <x:c r="B134" s="12" t="str">
        <x:v>Ceramics - Youth: Clay Creations</x:v>
      </x:c>
      <x:c r="C134" s="12" t="str">
        <x:v>Peninsula Park Cmty Ctr</x:v>
      </x:c>
      <x:c r="D134" s="12" t="str">
        <x:v>Arts &amp; Crafts - Clay &amp; Sculpture</x:v>
      </x:c>
      <x:c r="E134" s="7" t="str">
        <x:v>future</x:v>
      </x:c>
      <x:c r="F134" s="7" t="str">
        <x:v>2026-11-02</x:v>
      </x:c>
      <x:c r="G134" s="7" t="str">
        <x:v>2026-12-07</x:v>
      </x:c>
      <x:c r="H134" s="7" t="n">
        <x:v>0</x:v>
      </x:c>
      <x:c r="I134" s="7"/>
      <x:c r="J134" s="7" t="n">
        <x:v>10</x:v>
      </x:c>
      <x:c r="K134" s="7" t="str">
        <x:v>unverified-denominator</x:v>
      </x:c>
      <x:c r="L134" s="7" t="d">
        <x:v>2026-09-16T05:12:38.111Z</x:v>
      </x:c>
      <x:c r="M134" s="7" t="str">
        <x:v>https://apm.activecommunities.com/portlandparks/Activity_Search/ceramics---youth-clay-creations/208143?locale=en-US</x:v>
      </x:c>
    </x:row>
    <x:row r="135" ht="38" customHeight="1">
      <x:c r="A135" s="8" t="str">
        <x:v>208149</x:v>
      </x:c>
      <x:c r="B135" s="11" t="str">
        <x:v>Ceramics - Youth: Clay Creations</x:v>
      </x:c>
      <x:c r="C135" s="11" t="str">
        <x:v>Peninsula Park Cmty Ctr</x:v>
      </x:c>
      <x:c r="D135" s="11" t="str">
        <x:v>Arts &amp; Crafts - Clay &amp; Sculpture</x:v>
      </x:c>
      <x:c r="E135" s="8" t="str">
        <x:v>future</x:v>
      </x:c>
      <x:c r="F135" s="8" t="str">
        <x:v>2026-11-02</x:v>
      </x:c>
      <x:c r="G135" s="8" t="str">
        <x:v>2026-12-07</x:v>
      </x:c>
      <x:c r="H135" s="8" t="n">
        <x:v>0</x:v>
      </x:c>
      <x:c r="I135" s="8"/>
      <x:c r="J135" s="8" t="n">
        <x:v>10</x:v>
      </x:c>
      <x:c r="K135" s="8" t="str">
        <x:v>unverified-denominator</x:v>
      </x:c>
      <x:c r="L135" s="8" t="d">
        <x:v>2026-09-16T05:12:38.111Z</x:v>
      </x:c>
      <x:c r="M135" s="8" t="str">
        <x:v>https://apm.activecommunities.com/portlandparks/Activity_Search/ceramics---youth-clay-creations/208149?locale=en-US</x:v>
      </x:c>
    </x:row>
    <x:row r="136" ht="38" customHeight="1">
      <x:c r="A136" s="7" t="str">
        <x:v>208176</x:v>
      </x:c>
      <x:c r="B136" s="12" t="str">
        <x:v>Ceramics - Youth: Clay Creations</x:v>
      </x:c>
      <x:c r="C136" s="12" t="str">
        <x:v>Multnomah Arts Ctr</x:v>
      </x:c>
      <x:c r="D136" s="12" t="str">
        <x:v>Arts &amp; Crafts - Clay &amp; Sculpture</x:v>
      </x:c>
      <x:c r="E136" s="7" t="str">
        <x:v>future</x:v>
      </x:c>
      <x:c r="F136" s="7" t="str">
        <x:v>2026-10-01</x:v>
      </x:c>
      <x:c r="G136" s="7" t="str">
        <x:v>2026-10-29</x:v>
      </x:c>
      <x:c r="H136" s="7" t="n">
        <x:v>6</x:v>
      </x:c>
      <x:c r="I136" s="7" t="n">
        <x:v>1</x:v>
      </x:c>
      <x:c r="J136" s="7" t="n">
        <x:v>6</x:v>
      </x:c>
      <x:c r="K136" s="7" t="str">
        <x:v>unverified-denominator</x:v>
      </x:c>
      <x:c r="L136" s="7" t="d">
        <x:v>2026-09-16T05:12:38.111Z</x:v>
      </x:c>
      <x:c r="M136" s="7" t="str">
        <x:v>https://apm.activecommunities.com/portlandparks/Activity_Search/ceramics---youth-clay-creations/208176?locale=en-US</x:v>
      </x:c>
    </x:row>
    <x:row r="137" ht="38" customHeight="1">
      <x:c r="A137" s="8" t="str">
        <x:v>208177</x:v>
      </x:c>
      <x:c r="B137" s="11" t="str">
        <x:v>Ceramics - Youth: Clay Creations</x:v>
      </x:c>
      <x:c r="C137" s="11" t="str">
        <x:v>Multnomah Arts Ctr</x:v>
      </x:c>
      <x:c r="D137" s="11" t="str">
        <x:v>Arts &amp; Crafts - Clay &amp; Sculpture</x:v>
      </x:c>
      <x:c r="E137" s="8" t="str">
        <x:v>future</x:v>
      </x:c>
      <x:c r="F137" s="8" t="str">
        <x:v>2026-10-01</x:v>
      </x:c>
      <x:c r="G137" s="8" t="str">
        <x:v>2026-10-29</x:v>
      </x:c>
      <x:c r="H137" s="8" t="n">
        <x:v>4</x:v>
      </x:c>
      <x:c r="I137" s="8"/>
      <x:c r="J137" s="8" t="n">
        <x:v>6</x:v>
      </x:c>
      <x:c r="K137" s="8" t="str">
        <x:v>unverified-denominator</x:v>
      </x:c>
      <x:c r="L137" s="8" t="d">
        <x:v>2026-09-16T05:12:38.111Z</x:v>
      </x:c>
      <x:c r="M137" s="8" t="str">
        <x:v>https://apm.activecommunities.com/portlandparks/Activity_Search/ceramics---youth-clay-creations/208177?locale=en-US</x:v>
      </x:c>
    </x:row>
    <x:row r="138" ht="38" customHeight="1">
      <x:c r="A138" s="7" t="str">
        <x:v>208179</x:v>
      </x:c>
      <x:c r="B138" s="12" t="str">
        <x:v>Ceramics - Youth: Clay Creations</x:v>
      </x:c>
      <x:c r="C138" s="12" t="str">
        <x:v>Multnomah Arts Ctr</x:v>
      </x:c>
      <x:c r="D138" s="12" t="str">
        <x:v>Arts &amp; Crafts - Clay &amp; Sculpture</x:v>
      </x:c>
      <x:c r="E138" s="7" t="str">
        <x:v>future</x:v>
      </x:c>
      <x:c r="F138" s="7" t="str">
        <x:v>2026-11-12</x:v>
      </x:c>
      <x:c r="G138" s="7" t="str">
        <x:v>2026-12-10</x:v>
      </x:c>
      <x:c r="H138" s="7" t="n">
        <x:v>0</x:v>
      </x:c>
      <x:c r="I138" s="7"/>
      <x:c r="J138" s="7" t="n">
        <x:v>6</x:v>
      </x:c>
      <x:c r="K138" s="7" t="str">
        <x:v>unverified-denominator</x:v>
      </x:c>
      <x:c r="L138" s="7" t="d">
        <x:v>2026-09-16T05:12:38.111Z</x:v>
      </x:c>
      <x:c r="M138" s="7" t="str">
        <x:v>https://apm.activecommunities.com/portlandparks/Activity_Search/ceramics---youth-clay-creations/208179?locale=en-US</x:v>
      </x:c>
    </x:row>
    <x:row r="139" ht="38" customHeight="1">
      <x:c r="A139" s="8" t="str">
        <x:v>208181</x:v>
      </x:c>
      <x:c r="B139" s="11" t="str">
        <x:v>Ceramics - Youth: Clay Creations</x:v>
      </x:c>
      <x:c r="C139" s="11" t="str">
        <x:v>Multnomah Arts Ctr</x:v>
      </x:c>
      <x:c r="D139" s="11" t="str">
        <x:v>Arts &amp; Crafts - Clay &amp; Sculpture</x:v>
      </x:c>
      <x:c r="E139" s="8" t="str">
        <x:v>future</x:v>
      </x:c>
      <x:c r="F139" s="8" t="str">
        <x:v>2026-11-12</x:v>
      </x:c>
      <x:c r="G139" s="8" t="str">
        <x:v>2026-12-10</x:v>
      </x:c>
      <x:c r="H139" s="8" t="n">
        <x:v>0</x:v>
      </x:c>
      <x:c r="I139" s="8"/>
      <x:c r="J139" s="8" t="n">
        <x:v>6</x:v>
      </x:c>
      <x:c r="K139" s="8" t="str">
        <x:v>unverified-denominator</x:v>
      </x:c>
      <x:c r="L139" s="8" t="d">
        <x:v>2026-09-16T05:12:38.111Z</x:v>
      </x:c>
      <x:c r="M139" s="8" t="str">
        <x:v>https://apm.activecommunities.com/portlandparks/Activity_Search/ceramics---youth-clay-creations/208181?locale=en-US</x:v>
      </x:c>
    </x:row>
    <x:row r="140" ht="38" customHeight="1">
      <x:c r="A140" s="7" t="str">
        <x:v>207171</x:v>
      </x:c>
      <x:c r="B140" s="12" t="str">
        <x:v>Ceramics - Youth: Family Clay Saturday - 10/10 1pm</x:v>
      </x:c>
      <x:c r="C140" s="12" t="str">
        <x:v>Multnomah Arts Ctr</x:v>
      </x:c>
      <x:c r="D140" s="12" t="str">
        <x:v>Arts &amp; Crafts - Clay &amp; Sculpture</x:v>
      </x:c>
      <x:c r="E140" s="7" t="str">
        <x:v>undated</x:v>
      </x:c>
      <x:c r="F140" s="7" t="str">
        <x:v>2026-10-10</x:v>
      </x:c>
      <x:c r="G140" s="7" t="str"/>
      <x:c r="H140" s="7" t="n">
        <x:v>8</x:v>
      </x:c>
      <x:c r="I140" s="7" t="n">
        <x:v>11</x:v>
      </x:c>
      <x:c r="J140" s="7" t="n">
        <x:v>8</x:v>
      </x:c>
      <x:c r="K140" s="7" t="str">
        <x:v>unverified-denominator</x:v>
      </x:c>
      <x:c r="L140" s="7" t="d">
        <x:v>2026-09-16T05:12:38.111Z</x:v>
      </x:c>
      <x:c r="M140" s="7" t="str">
        <x:v>https://apm.activecommunities.com/portlandparks/Activity_Search/ceramics---youth-family-clay-saturday---10-10-1pm/207171?locale=en-US</x:v>
      </x:c>
    </x:row>
    <x:row r="141" ht="38" customHeight="1">
      <x:c r="A141" s="8" t="str">
        <x:v>207180</x:v>
      </x:c>
      <x:c r="B141" s="11" t="str">
        <x:v>Ceramics - Youth: Family Clay Saturday - 10/10 2:45pm</x:v>
      </x:c>
      <x:c r="C141" s="11" t="str">
        <x:v>Multnomah Arts Ctr</x:v>
      </x:c>
      <x:c r="D141" s="11" t="str">
        <x:v>Arts &amp; Crafts - Clay &amp; Sculpture</x:v>
      </x:c>
      <x:c r="E141" s="8" t="str">
        <x:v>undated</x:v>
      </x:c>
      <x:c r="F141" s="8" t="str">
        <x:v>2026-10-10</x:v>
      </x:c>
      <x:c r="G141" s="8" t="str"/>
      <x:c r="H141" s="8" t="n">
        <x:v>8</x:v>
      </x:c>
      <x:c r="I141" s="8" t="n">
        <x:v>9</x:v>
      </x:c>
      <x:c r="J141" s="8" t="n">
        <x:v>8</x:v>
      </x:c>
      <x:c r="K141" s="8" t="str">
        <x:v>unverified-denominator</x:v>
      </x:c>
      <x:c r="L141" s="8" t="d">
        <x:v>2026-09-16T05:12:38.111Z</x:v>
      </x:c>
      <x:c r="M141" s="8" t="str">
        <x:v>https://apm.activecommunities.com/portlandparks/Activity_Search/ceramics---youth-family-clay-saturday---10-10-2-45pm/207180?locale=en-US</x:v>
      </x:c>
    </x:row>
    <x:row r="142" ht="38" customHeight="1">
      <x:c r="A142" s="7" t="str">
        <x:v>207172</x:v>
      </x:c>
      <x:c r="B142" s="12" t="str">
        <x:v>Ceramics - Youth: Family Clay Saturday - 10/17 1pm</x:v>
      </x:c>
      <x:c r="C142" s="12" t="str">
        <x:v>Multnomah Arts Ctr</x:v>
      </x:c>
      <x:c r="D142" s="12" t="str">
        <x:v>Arts &amp; Crafts - Clay &amp; Sculpture</x:v>
      </x:c>
      <x:c r="E142" s="7" t="str">
        <x:v>undated</x:v>
      </x:c>
      <x:c r="F142" s="7" t="str">
        <x:v>2026-10-17</x:v>
      </x:c>
      <x:c r="G142" s="7" t="str"/>
      <x:c r="H142" s="7" t="n">
        <x:v>8</x:v>
      </x:c>
      <x:c r="I142" s="7" t="n">
        <x:v>5</x:v>
      </x:c>
      <x:c r="J142" s="7" t="n">
        <x:v>8</x:v>
      </x:c>
      <x:c r="K142" s="7" t="str">
        <x:v>unverified-denominator</x:v>
      </x:c>
      <x:c r="L142" s="7" t="d">
        <x:v>2026-09-16T05:12:38.111Z</x:v>
      </x:c>
      <x:c r="M142" s="7" t="str">
        <x:v>https://apm.activecommunities.com/portlandparks/Activity_Search/ceramics---youth-family-clay-saturday---10-17-1pm/207172?locale=en-US</x:v>
      </x:c>
    </x:row>
    <x:row r="143" ht="38" customHeight="1">
      <x:c r="A143" s="8" t="str">
        <x:v>207181</x:v>
      </x:c>
      <x:c r="B143" s="11" t="str">
        <x:v>Ceramics - Youth: Family Clay Saturday - 10/17 2:45pm</x:v>
      </x:c>
      <x:c r="C143" s="11" t="str">
        <x:v>Multnomah Arts Ctr</x:v>
      </x:c>
      <x:c r="D143" s="11" t="str">
        <x:v>Arts &amp; Crafts - Clay &amp; Sculpture</x:v>
      </x:c>
      <x:c r="E143" s="8" t="str">
        <x:v>undated</x:v>
      </x:c>
      <x:c r="F143" s="8" t="str">
        <x:v>2026-10-17</x:v>
      </x:c>
      <x:c r="G143" s="8" t="str"/>
      <x:c r="H143" s="8" t="n">
        <x:v>8</x:v>
      </x:c>
      <x:c r="I143" s="8" t="n">
        <x:v>7</x:v>
      </x:c>
      <x:c r="J143" s="8" t="n">
        <x:v>8</x:v>
      </x:c>
      <x:c r="K143" s="8" t="str">
        <x:v>unverified-denominator</x:v>
      </x:c>
      <x:c r="L143" s="8" t="d">
        <x:v>2026-09-16T05:12:38.111Z</x:v>
      </x:c>
      <x:c r="M143" s="8" t="str">
        <x:v>https://apm.activecommunities.com/portlandparks/Activity_Search/ceramics---youth-family-clay-saturday---10-17-2-45pm/207181?locale=en-US</x:v>
      </x:c>
    </x:row>
    <x:row r="144" ht="38" customHeight="1">
      <x:c r="A144" s="7" t="str">
        <x:v>207173</x:v>
      </x:c>
      <x:c r="B144" s="12" t="str">
        <x:v>Ceramics - Youth: Family Clay Saturday - 10/24 1pm</x:v>
      </x:c>
      <x:c r="C144" s="12" t="str">
        <x:v>Multnomah Arts Ctr</x:v>
      </x:c>
      <x:c r="D144" s="12" t="str">
        <x:v>Arts &amp; Crafts - Clay &amp; Sculpture</x:v>
      </x:c>
      <x:c r="E144" s="7" t="str">
        <x:v>undated</x:v>
      </x:c>
      <x:c r="F144" s="7" t="str">
        <x:v>2026-10-24</x:v>
      </x:c>
      <x:c r="G144" s="7" t="str"/>
      <x:c r="H144" s="7" t="n">
        <x:v>8</x:v>
      </x:c>
      <x:c r="I144" s="7" t="n">
        <x:v>11</x:v>
      </x:c>
      <x:c r="J144" s="7" t="n">
        <x:v>8</x:v>
      </x:c>
      <x:c r="K144" s="7" t="str">
        <x:v>unverified-denominator</x:v>
      </x:c>
      <x:c r="L144" s="7" t="d">
        <x:v>2026-09-16T05:12:38.111Z</x:v>
      </x:c>
      <x:c r="M144" s="7" t="str">
        <x:v>https://apm.activecommunities.com/portlandparks/Activity_Search/ceramics---youth-family-clay-saturday---10-24-1pm/207173?locale=en-US</x:v>
      </x:c>
    </x:row>
    <x:row r="145" ht="38" customHeight="1">
      <x:c r="A145" s="8" t="str">
        <x:v>207188</x:v>
      </x:c>
      <x:c r="B145" s="11" t="str">
        <x:v>Ceramics - Youth: Family Clay Saturday - 10/24 2:45pm</x:v>
      </x:c>
      <x:c r="C145" s="11" t="str">
        <x:v>Multnomah Arts Ctr</x:v>
      </x:c>
      <x:c r="D145" s="11" t="str">
        <x:v>Arts &amp; Crafts - Clay &amp; Sculpture</x:v>
      </x:c>
      <x:c r="E145" s="8" t="str">
        <x:v>undated</x:v>
      </x:c>
      <x:c r="F145" s="8" t="str">
        <x:v>2026-10-24</x:v>
      </x:c>
      <x:c r="G145" s="8" t="str"/>
      <x:c r="H145" s="8" t="n">
        <x:v>8</x:v>
      </x:c>
      <x:c r="I145" s="8" t="n">
        <x:v>14</x:v>
      </x:c>
      <x:c r="J145" s="8" t="n">
        <x:v>8</x:v>
      </x:c>
      <x:c r="K145" s="8" t="str">
        <x:v>unverified-denominator</x:v>
      </x:c>
      <x:c r="L145" s="8" t="d">
        <x:v>2026-09-16T05:12:38.111Z</x:v>
      </x:c>
      <x:c r="M145" s="8" t="str">
        <x:v>https://apm.activecommunities.com/portlandparks/Activity_Search/ceramics---youth-family-clay-saturday---10-24-2-45pm/207188?locale=en-US</x:v>
      </x:c>
    </x:row>
    <x:row r="146" ht="38" customHeight="1">
      <x:c r="A146" s="7" t="str">
        <x:v>207170</x:v>
      </x:c>
      <x:c r="B146" s="12" t="str">
        <x:v>Ceramics - Youth: Family Clay Saturday - 10/3 1pm</x:v>
      </x:c>
      <x:c r="C146" s="12" t="str">
        <x:v>Multnomah Arts Ctr</x:v>
      </x:c>
      <x:c r="D146" s="12" t="str">
        <x:v>Arts &amp; Crafts - Clay &amp; Sculpture</x:v>
      </x:c>
      <x:c r="E146" s="7" t="str">
        <x:v>undated</x:v>
      </x:c>
      <x:c r="F146" s="7" t="str">
        <x:v>2026-10-03</x:v>
      </x:c>
      <x:c r="G146" s="7" t="str"/>
      <x:c r="H146" s="7" t="n">
        <x:v>8</x:v>
      </x:c>
      <x:c r="I146" s="7" t="n">
        <x:v>3</x:v>
      </x:c>
      <x:c r="J146" s="7" t="n">
        <x:v>8</x:v>
      </x:c>
      <x:c r="K146" s="7" t="str">
        <x:v>unverified-denominator</x:v>
      </x:c>
      <x:c r="L146" s="7" t="d">
        <x:v>2026-09-16T05:12:38.111Z</x:v>
      </x:c>
      <x:c r="M146" s="7" t="str">
        <x:v>https://apm.activecommunities.com/portlandparks/Activity_Search/ceramics---youth-family-clay-saturday---10-3-1pm/207170?locale=en-US</x:v>
      </x:c>
    </x:row>
    <x:row r="147" ht="38" customHeight="1">
      <x:c r="A147" s="8" t="str">
        <x:v>207179</x:v>
      </x:c>
      <x:c r="B147" s="11" t="str">
        <x:v>Ceramics - Youth: Family Clay Saturday - 10/3 2:45pm</x:v>
      </x:c>
      <x:c r="C147" s="11" t="str">
        <x:v>Multnomah Arts Ctr</x:v>
      </x:c>
      <x:c r="D147" s="11" t="str">
        <x:v>Arts &amp; Crafts - Clay &amp; Sculpture</x:v>
      </x:c>
      <x:c r="E147" s="8" t="str">
        <x:v>undated</x:v>
      </x:c>
      <x:c r="F147" s="8" t="str">
        <x:v>2026-10-03</x:v>
      </x:c>
      <x:c r="G147" s="8" t="str"/>
      <x:c r="H147" s="8" t="n">
        <x:v>8</x:v>
      </x:c>
      <x:c r="I147" s="8" t="n">
        <x:v>3</x:v>
      </x:c>
      <x:c r="J147" s="8" t="n">
        <x:v>8</x:v>
      </x:c>
      <x:c r="K147" s="8" t="str">
        <x:v>unverified-denominator</x:v>
      </x:c>
      <x:c r="L147" s="8" t="d">
        <x:v>2026-09-16T05:12:38.111Z</x:v>
      </x:c>
      <x:c r="M147" s="8" t="str">
        <x:v>https://apm.activecommunities.com/portlandparks/Activity_Search/ceramics---youth-family-clay-saturday---10-3-2-45pm/207179?locale=en-US</x:v>
      </x:c>
    </x:row>
    <x:row r="148" ht="38" customHeight="1">
      <x:c r="A148" s="7" t="str">
        <x:v>207174</x:v>
      </x:c>
      <x:c r="B148" s="12" t="str">
        <x:v>Ceramics - Youth: Family Clay Saturday - 10/31 1pm</x:v>
      </x:c>
      <x:c r="C148" s="12" t="str">
        <x:v>Multnomah Arts Ctr</x:v>
      </x:c>
      <x:c r="D148" s="12" t="str">
        <x:v>Arts &amp; Crafts - Clay &amp; Sculpture</x:v>
      </x:c>
      <x:c r="E148" s="7" t="str">
        <x:v>undated</x:v>
      </x:c>
      <x:c r="F148" s="7" t="str">
        <x:v>2026-10-31</x:v>
      </x:c>
      <x:c r="G148" s="7" t="str"/>
      <x:c r="H148" s="7" t="n">
        <x:v>8</x:v>
      </x:c>
      <x:c r="I148" s="7" t="n">
        <x:v>6</x:v>
      </x:c>
      <x:c r="J148" s="7" t="n">
        <x:v>8</x:v>
      </x:c>
      <x:c r="K148" s="7" t="str">
        <x:v>unverified-denominator</x:v>
      </x:c>
      <x:c r="L148" s="7" t="d">
        <x:v>2026-09-16T05:12:38.111Z</x:v>
      </x:c>
      <x:c r="M148" s="7" t="str">
        <x:v>https://apm.activecommunities.com/portlandparks/Activity_Search/ceramics---youth-family-clay-saturday---10-31-1pm/207174?locale=en-US</x:v>
      </x:c>
    </x:row>
    <x:row r="149" ht="38" customHeight="1">
      <x:c r="A149" s="8" t="str">
        <x:v>207189</x:v>
      </x:c>
      <x:c r="B149" s="11" t="str">
        <x:v>Ceramics - Youth: Family Clay Saturday - 10/31 2:45pm</x:v>
      </x:c>
      <x:c r="C149" s="11" t="str">
        <x:v>Multnomah Arts Ctr</x:v>
      </x:c>
      <x:c r="D149" s="11" t="str">
        <x:v>Arts &amp; Crafts - Clay &amp; Sculpture</x:v>
      </x:c>
      <x:c r="E149" s="8" t="str">
        <x:v>undated</x:v>
      </x:c>
      <x:c r="F149" s="8" t="str">
        <x:v>2026-10-31</x:v>
      </x:c>
      <x:c r="G149" s="8" t="str"/>
      <x:c r="H149" s="8" t="n">
        <x:v>8</x:v>
      </x:c>
      <x:c r="I149" s="8" t="n">
        <x:v>6</x:v>
      </x:c>
      <x:c r="J149" s="8" t="n">
        <x:v>8</x:v>
      </x:c>
      <x:c r="K149" s="8" t="str">
        <x:v>unverified-denominator</x:v>
      </x:c>
      <x:c r="L149" s="8" t="d">
        <x:v>2026-09-16T05:12:38.111Z</x:v>
      </x:c>
      <x:c r="M149" s="8" t="str">
        <x:v>https://apm.activecommunities.com/portlandparks/Activity_Search/ceramics---youth-family-clay-saturday---10-31-2-45pm/207189?locale=en-US</x:v>
      </x:c>
    </x:row>
    <x:row r="150" ht="38" customHeight="1">
      <x:c r="A150" s="7" t="str">
        <x:v>207176</x:v>
      </x:c>
      <x:c r="B150" s="12" t="str">
        <x:v>Ceramics - Youth: Family Clay Saturday - 11/14 1pm</x:v>
      </x:c>
      <x:c r="C150" s="12" t="str">
        <x:v>Multnomah Arts Ctr</x:v>
      </x:c>
      <x:c r="D150" s="12" t="str">
        <x:v>Arts &amp; Crafts - Clay &amp; Sculpture</x:v>
      </x:c>
      <x:c r="E150" s="7" t="str">
        <x:v>undated</x:v>
      </x:c>
      <x:c r="F150" s="7" t="str">
        <x:v>2026-11-14</x:v>
      </x:c>
      <x:c r="G150" s="7" t="str"/>
      <x:c r="H150" s="7" t="n">
        <x:v>0</x:v>
      </x:c>
      <x:c r="I150" s="7"/>
      <x:c r="J150" s="7" t="n">
        <x:v>8</x:v>
      </x:c>
      <x:c r="K150" s="7" t="str">
        <x:v>unverified-denominator</x:v>
      </x:c>
      <x:c r="L150" s="7" t="d">
        <x:v>2026-09-16T05:12:38.111Z</x:v>
      </x:c>
      <x:c r="M150" s="7" t="str">
        <x:v>https://apm.activecommunities.com/portlandparks/Activity_Search/ceramics---youth-family-clay-saturday---11-14-1pm/207176?locale=en-US</x:v>
      </x:c>
    </x:row>
    <x:row r="151" ht="38" customHeight="1">
      <x:c r="A151" s="8" t="str">
        <x:v>207191</x:v>
      </x:c>
      <x:c r="B151" s="11" t="str">
        <x:v>Ceramics - Youth: Family Clay Saturday - 11/14 2:45pm</x:v>
      </x:c>
      <x:c r="C151" s="11" t="str">
        <x:v>Multnomah Arts Ctr</x:v>
      </x:c>
      <x:c r="D151" s="11" t="str">
        <x:v>Arts &amp; Crafts - Clay &amp; Sculpture</x:v>
      </x:c>
      <x:c r="E151" s="8" t="str">
        <x:v>undated</x:v>
      </x:c>
      <x:c r="F151" s="8" t="str">
        <x:v>2026-11-14</x:v>
      </x:c>
      <x:c r="G151" s="8" t="str"/>
      <x:c r="H151" s="8" t="n">
        <x:v>0</x:v>
      </x:c>
      <x:c r="I151" s="8"/>
      <x:c r="J151" s="8" t="n">
        <x:v>8</x:v>
      </x:c>
      <x:c r="K151" s="8" t="str">
        <x:v>unverified-denominator</x:v>
      </x:c>
      <x:c r="L151" s="8" t="d">
        <x:v>2026-09-16T05:12:38.111Z</x:v>
      </x:c>
      <x:c r="M151" s="8" t="str">
        <x:v>https://apm.activecommunities.com/portlandparks/Activity_Search/ceramics---youth-family-clay-saturday---11-14-2-45pm/207191?locale=en-US</x:v>
      </x:c>
    </x:row>
    <x:row r="152" ht="38" customHeight="1">
      <x:c r="A152" s="7" t="str">
        <x:v>207177</x:v>
      </x:c>
      <x:c r="B152" s="12" t="str">
        <x:v>Ceramics - Youth: Family Clay Saturday - 11/21 1pm</x:v>
      </x:c>
      <x:c r="C152" s="12" t="str">
        <x:v>Multnomah Arts Ctr</x:v>
      </x:c>
      <x:c r="D152" s="12" t="str">
        <x:v>Arts &amp; Crafts - Clay &amp; Sculpture</x:v>
      </x:c>
      <x:c r="E152" s="7" t="str">
        <x:v>undated</x:v>
      </x:c>
      <x:c r="F152" s="7" t="str">
        <x:v>2026-11-21</x:v>
      </x:c>
      <x:c r="G152" s="7" t="str"/>
      <x:c r="H152" s="7" t="n">
        <x:v>0</x:v>
      </x:c>
      <x:c r="I152" s="7"/>
      <x:c r="J152" s="7" t="n">
        <x:v>8</x:v>
      </x:c>
      <x:c r="K152" s="7" t="str">
        <x:v>unverified-denominator</x:v>
      </x:c>
      <x:c r="L152" s="7" t="d">
        <x:v>2026-09-16T05:12:38.111Z</x:v>
      </x:c>
      <x:c r="M152" s="7" t="str">
        <x:v>https://apm.activecommunities.com/portlandparks/Activity_Search/ceramics---youth-family-clay-saturday---11-21-1pm/207177?locale=en-US</x:v>
      </x:c>
    </x:row>
    <x:row r="153" ht="38" customHeight="1">
      <x:c r="A153" s="8" t="str">
        <x:v>207192</x:v>
      </x:c>
      <x:c r="B153" s="11" t="str">
        <x:v>Ceramics - Youth: Family Clay Saturday - 11/21 2:45pm</x:v>
      </x:c>
      <x:c r="C153" s="11" t="str">
        <x:v>Multnomah Arts Ctr</x:v>
      </x:c>
      <x:c r="D153" s="11" t="str">
        <x:v>Arts &amp; Crafts - Clay &amp; Sculpture</x:v>
      </x:c>
      <x:c r="E153" s="8" t="str">
        <x:v>undated</x:v>
      </x:c>
      <x:c r="F153" s="8" t="str">
        <x:v>2026-11-21</x:v>
      </x:c>
      <x:c r="G153" s="8" t="str"/>
      <x:c r="H153" s="8" t="n">
        <x:v>0</x:v>
      </x:c>
      <x:c r="I153" s="8"/>
      <x:c r="J153" s="8" t="n">
        <x:v>8</x:v>
      </x:c>
      <x:c r="K153" s="8" t="str">
        <x:v>unverified-denominator</x:v>
      </x:c>
      <x:c r="L153" s="8" t="d">
        <x:v>2026-09-16T05:12:38.111Z</x:v>
      </x:c>
      <x:c r="M153" s="8" t="str">
        <x:v>https://apm.activecommunities.com/portlandparks/Activity_Search/ceramics---youth-family-clay-saturday---11-21-2-45pm/207192?locale=en-US</x:v>
      </x:c>
    </x:row>
    <x:row r="154" ht="38" customHeight="1">
      <x:c r="A154" s="7" t="str">
        <x:v>207175</x:v>
      </x:c>
      <x:c r="B154" s="12" t="str">
        <x:v>Ceramics - Youth: Family Clay Saturday - 11/7 1pm</x:v>
      </x:c>
      <x:c r="C154" s="12" t="str">
        <x:v>Multnomah Arts Ctr</x:v>
      </x:c>
      <x:c r="D154" s="12" t="str">
        <x:v>Arts &amp; Crafts - Clay &amp; Sculpture</x:v>
      </x:c>
      <x:c r="E154" s="7" t="str">
        <x:v>undated</x:v>
      </x:c>
      <x:c r="F154" s="7" t="str">
        <x:v>2026-11-07</x:v>
      </x:c>
      <x:c r="G154" s="7" t="str"/>
      <x:c r="H154" s="7" t="n">
        <x:v>0</x:v>
      </x:c>
      <x:c r="I154" s="7"/>
      <x:c r="J154" s="7" t="n">
        <x:v>8</x:v>
      </x:c>
      <x:c r="K154" s="7" t="str">
        <x:v>unverified-denominator</x:v>
      </x:c>
      <x:c r="L154" s="7" t="d">
        <x:v>2026-09-16T05:12:38.111Z</x:v>
      </x:c>
      <x:c r="M154" s="7" t="str">
        <x:v>https://apm.activecommunities.com/portlandparks/Activity_Search/ceramics---youth-family-clay-saturday---11-7-1pm/207175?locale=en-US</x:v>
      </x:c>
    </x:row>
    <x:row r="155" ht="38" customHeight="1">
      <x:c r="A155" s="8" t="str">
        <x:v>207190</x:v>
      </x:c>
      <x:c r="B155" s="11" t="str">
        <x:v>Ceramics - Youth: Family Clay Saturday - 11/7 2:45pm</x:v>
      </x:c>
      <x:c r="C155" s="11" t="str">
        <x:v>Multnomah Arts Ctr</x:v>
      </x:c>
      <x:c r="D155" s="11" t="str">
        <x:v>Arts &amp; Crafts - Clay &amp; Sculpture</x:v>
      </x:c>
      <x:c r="E155" s="8" t="str">
        <x:v>undated</x:v>
      </x:c>
      <x:c r="F155" s="8" t="str">
        <x:v>2026-11-07</x:v>
      </x:c>
      <x:c r="G155" s="8" t="str"/>
      <x:c r="H155" s="8" t="n">
        <x:v>0</x:v>
      </x:c>
      <x:c r="I155" s="8"/>
      <x:c r="J155" s="8" t="n">
        <x:v>8</x:v>
      </x:c>
      <x:c r="K155" s="8" t="str">
        <x:v>unverified-denominator</x:v>
      </x:c>
      <x:c r="L155" s="8" t="d">
        <x:v>2026-09-16T05:12:38.111Z</x:v>
      </x:c>
      <x:c r="M155" s="8" t="str">
        <x:v>https://apm.activecommunities.com/portlandparks/Activity_Search/ceramics---youth-family-clay-saturday---11-7-2-45pm/207190?locale=en-US</x:v>
      </x:c>
    </x:row>
    <x:row r="156" ht="38" customHeight="1">
      <x:c r="A156" s="7" t="str">
        <x:v>207178</x:v>
      </x:c>
      <x:c r="B156" s="12" t="str">
        <x:v>Ceramics - Youth: Family Clay Saturday - 12/5 1pm</x:v>
      </x:c>
      <x:c r="C156" s="12" t="str">
        <x:v>Multnomah Arts Ctr</x:v>
      </x:c>
      <x:c r="D156" s="12" t="str">
        <x:v>Arts &amp; Crafts - Clay &amp; Sculpture</x:v>
      </x:c>
      <x:c r="E156" s="7" t="str">
        <x:v>undated</x:v>
      </x:c>
      <x:c r="F156" s="7" t="str">
        <x:v>2026-12-05</x:v>
      </x:c>
      <x:c r="G156" s="7" t="str"/>
      <x:c r="H156" s="7" t="n">
        <x:v>0</x:v>
      </x:c>
      <x:c r="I156" s="7"/>
      <x:c r="J156" s="7" t="n">
        <x:v>8</x:v>
      </x:c>
      <x:c r="K156" s="7" t="str">
        <x:v>unverified-denominator</x:v>
      </x:c>
      <x:c r="L156" s="7" t="d">
        <x:v>2026-09-16T05:12:38.111Z</x:v>
      </x:c>
      <x:c r="M156" s="7" t="str">
        <x:v>https://apm.activecommunities.com/portlandparks/Activity_Search/ceramics---youth-family-clay-saturday---12-5-1pm/207178?locale=en-US</x:v>
      </x:c>
    </x:row>
    <x:row r="157" ht="38" customHeight="1">
      <x:c r="A157" s="8" t="str">
        <x:v>207193</x:v>
      </x:c>
      <x:c r="B157" s="11" t="str">
        <x:v>Ceramics - Youth: Family Clay Saturday - 12/5 2:45pm</x:v>
      </x:c>
      <x:c r="C157" s="11" t="str">
        <x:v>Multnomah Arts Ctr</x:v>
      </x:c>
      <x:c r="D157" s="11" t="str">
        <x:v>Arts &amp; Crafts - Clay &amp; Sculpture</x:v>
      </x:c>
      <x:c r="E157" s="8" t="str">
        <x:v>undated</x:v>
      </x:c>
      <x:c r="F157" s="8" t="str">
        <x:v>2026-12-05</x:v>
      </x:c>
      <x:c r="G157" s="8" t="str"/>
      <x:c r="H157" s="8" t="n">
        <x:v>0</x:v>
      </x:c>
      <x:c r="I157" s="8"/>
      <x:c r="J157" s="8" t="n">
        <x:v>8</x:v>
      </x:c>
      <x:c r="K157" s="8" t="str">
        <x:v>unverified-denominator</x:v>
      </x:c>
      <x:c r="L157" s="8" t="d">
        <x:v>2026-09-16T05:12:38.111Z</x:v>
      </x:c>
      <x:c r="M157" s="8" t="str">
        <x:v>https://apm.activecommunities.com/portlandparks/Activity_Search/ceramics---youth-family-clay-saturday---12-5-2-45pm/207193?locale=en-US</x:v>
      </x:c>
    </x:row>
    <x:row r="158" ht="38" customHeight="1">
      <x:c r="A158" s="7" t="str">
        <x:v>207182</x:v>
      </x:c>
      <x:c r="B158" s="12" t="str">
        <x:v>Ceramics - Youth: Family Clay Saturday - Glaze Only - 1pm</x:v>
      </x:c>
      <x:c r="C158" s="12" t="str">
        <x:v>Multnomah Arts Ctr</x:v>
      </x:c>
      <x:c r="D158" s="12" t="str">
        <x:v>Arts &amp; Crafts - Clay &amp; Sculpture</x:v>
      </x:c>
      <x:c r="E158" s="7" t="str">
        <x:v>undated</x:v>
      </x:c>
      <x:c r="F158" s="7" t="str">
        <x:v>2026-12-12</x:v>
      </x:c>
      <x:c r="G158" s="7" t="str"/>
      <x:c r="H158" s="7" t="n">
        <x:v>0</x:v>
      </x:c>
      <x:c r="I158" s="7"/>
      <x:c r="J158" s="7" t="n">
        <x:v>8</x:v>
      </x:c>
      <x:c r="K158" s="7" t="str">
        <x:v>unverified-denominator</x:v>
      </x:c>
      <x:c r="L158" s="7" t="d">
        <x:v>2026-09-16T05:12:38.111Z</x:v>
      </x:c>
      <x:c r="M158" s="7" t="str">
        <x:v>https://apm.activecommunities.com/portlandparks/Activity_Search/ceramics---youth-family-clay-saturday---glaze-only---1pm/207182?locale=en-US</x:v>
      </x:c>
    </x:row>
    <x:row r="159" ht="38" customHeight="1">
      <x:c r="A159" s="8" t="str">
        <x:v>207183</x:v>
      </x:c>
      <x:c r="B159" s="11" t="str">
        <x:v>Ceramics - Youth: Family Clay Saturday - Glaze only - 2:45pm</x:v>
      </x:c>
      <x:c r="C159" s="11" t="str">
        <x:v>Multnomah Arts Ctr</x:v>
      </x:c>
      <x:c r="D159" s="11" t="str">
        <x:v>Arts &amp; Crafts - Clay &amp; Sculpture</x:v>
      </x:c>
      <x:c r="E159" s="8" t="str">
        <x:v>undated</x:v>
      </x:c>
      <x:c r="F159" s="8" t="str">
        <x:v>2026-12-12</x:v>
      </x:c>
      <x:c r="G159" s="8" t="str"/>
      <x:c r="H159" s="8" t="n">
        <x:v>0</x:v>
      </x:c>
      <x:c r="I159" s="8"/>
      <x:c r="J159" s="8" t="n">
        <x:v>8</x:v>
      </x:c>
      <x:c r="K159" s="8" t="str">
        <x:v>unverified-denominator</x:v>
      </x:c>
      <x:c r="L159" s="8" t="d">
        <x:v>2026-09-16T05:12:38.111Z</x:v>
      </x:c>
      <x:c r="M159" s="8" t="str">
        <x:v>https://apm.activecommunities.com/portlandparks/Activity_Search/ceramics---youth-family-clay-saturday---glaze-only---2-45pm/207183?locale=en-US</x:v>
      </x:c>
    </x:row>
    <x:row r="160" ht="38" customHeight="1">
      <x:c r="A160" s="7" t="str">
        <x:v>207185</x:v>
      </x:c>
      <x:c r="B160" s="12" t="str">
        <x:v>Ceramics - Youth: Handbuilding &amp; Sculpture</x:v>
      </x:c>
      <x:c r="C160" s="12" t="str">
        <x:v>Multnomah Arts Ctr</x:v>
      </x:c>
      <x:c r="D160" s="12" t="str">
        <x:v>Arts &amp; Crafts - Clay &amp; Sculpture</x:v>
      </x:c>
      <x:c r="E160" s="7" t="str">
        <x:v>future</x:v>
      </x:c>
      <x:c r="F160" s="7" t="str">
        <x:v>2026-10-01</x:v>
      </x:c>
      <x:c r="G160" s="7" t="str">
        <x:v>2026-12-10</x:v>
      </x:c>
      <x:c r="H160" s="7" t="n">
        <x:v>8</x:v>
      </x:c>
      <x:c r="I160" s="7"/>
      <x:c r="J160" s="7" t="n">
        <x:v>10</x:v>
      </x:c>
      <x:c r="K160" s="7" t="str">
        <x:v>unverified-denominator</x:v>
      </x:c>
      <x:c r="L160" s="7" t="d">
        <x:v>2026-09-16T05:12:38.111Z</x:v>
      </x:c>
      <x:c r="M160" s="7" t="str">
        <x:v>https://apm.activecommunities.com/portlandparks/Activity_Search/ceramics---youth-handbuilding-sculpture/207185?locale=en-US</x:v>
      </x:c>
    </x:row>
    <x:row r="161" ht="38" customHeight="1">
      <x:c r="A161" s="8" t="str">
        <x:v>207186</x:v>
      </x:c>
      <x:c r="B161" s="11" t="str">
        <x:v>Ceramics - Youth: Handbuilding &amp; Sculpture</x:v>
      </x:c>
      <x:c r="C161" s="11" t="str">
        <x:v>Multnomah Arts Ctr</x:v>
      </x:c>
      <x:c r="D161" s="11" t="str">
        <x:v>Arts &amp; Crafts - Clay &amp; Sculpture</x:v>
      </x:c>
      <x:c r="E161" s="8" t="str">
        <x:v>future</x:v>
      </x:c>
      <x:c r="F161" s="8" t="str">
        <x:v>2026-09-28</x:v>
      </x:c>
      <x:c r="G161" s="8" t="str">
        <x:v>2026-12-07</x:v>
      </x:c>
      <x:c r="H161" s="8" t="n">
        <x:v>8</x:v>
      </x:c>
      <x:c r="I161" s="8"/>
      <x:c r="J161" s="8" t="n">
        <x:v>10</x:v>
      </x:c>
      <x:c r="K161" s="8" t="str">
        <x:v>unverified-denominator</x:v>
      </x:c>
      <x:c r="L161" s="8" t="d">
        <x:v>2026-09-16T05:12:38.111Z</x:v>
      </x:c>
      <x:c r="M161" s="8" t="str">
        <x:v>https://apm.activecommunities.com/portlandparks/Activity_Search/ceramics---youth-handbuilding-sculpture/207186?locale=en-US</x:v>
      </x:c>
    </x:row>
    <x:row r="162" ht="38" customHeight="1">
      <x:c r="A162" s="7" t="str">
        <x:v>208172</x:v>
      </x:c>
      <x:c r="B162" s="12" t="str">
        <x:v>Ceramics - Youth: Handbuilding &amp; Sculpture</x:v>
      </x:c>
      <x:c r="C162" s="12" t="str">
        <x:v>Multnomah Arts Ctr</x:v>
      </x:c>
      <x:c r="D162" s="12" t="str">
        <x:v>Arts &amp; Crafts - Clay &amp; Sculpture</x:v>
      </x:c>
      <x:c r="E162" s="7" t="str">
        <x:v>future</x:v>
      </x:c>
      <x:c r="F162" s="7" t="str">
        <x:v>2026-09-29</x:v>
      </x:c>
      <x:c r="G162" s="7" t="str">
        <x:v>2026-12-15</x:v>
      </x:c>
      <x:c r="H162" s="7" t="n">
        <x:v>2</x:v>
      </x:c>
      <x:c r="I162" s="7"/>
      <x:c r="J162" s="7" t="n">
        <x:v>10</x:v>
      </x:c>
      <x:c r="K162" s="7" t="str">
        <x:v>unverified-denominator</x:v>
      </x:c>
      <x:c r="L162" s="7" t="d">
        <x:v>2026-09-16T05:12:38.111Z</x:v>
      </x:c>
      <x:c r="M162" s="7" t="str">
        <x:v>https://apm.activecommunities.com/portlandparks/Activity_Search/ceramics---youth-handbuilding-sculpture/208172?locale=en-US</x:v>
      </x:c>
    </x:row>
    <x:row r="163" ht="38" customHeight="1">
      <x:c r="A163" s="8" t="str">
        <x:v>207187</x:v>
      </x:c>
      <x:c r="B163" s="11" t="str">
        <x:v>Ceramics - Youth: Wheel Throwing</x:v>
      </x:c>
      <x:c r="C163" s="11" t="str">
        <x:v>Multnomah Arts Ctr</x:v>
      </x:c>
      <x:c r="D163" s="11" t="str">
        <x:v>Arts &amp; Crafts - Clay &amp; Sculpture</x:v>
      </x:c>
      <x:c r="E163" s="8" t="str">
        <x:v>future</x:v>
      </x:c>
      <x:c r="F163" s="8" t="str">
        <x:v>2026-09-28</x:v>
      </x:c>
      <x:c r="G163" s="8" t="str">
        <x:v>2026-12-07</x:v>
      </x:c>
      <x:c r="H163" s="8" t="n">
        <x:v>10</x:v>
      </x:c>
      <x:c r="I163" s="8" t="n">
        <x:v>1</x:v>
      </x:c>
      <x:c r="J163" s="8" t="n">
        <x:v>10</x:v>
      </x:c>
      <x:c r="K163" s="8" t="str">
        <x:v>unverified-denominator</x:v>
      </x:c>
      <x:c r="L163" s="8" t="d">
        <x:v>2026-09-16T05:12:38.111Z</x:v>
      </x:c>
      <x:c r="M163" s="8" t="str">
        <x:v>https://apm.activecommunities.com/portlandparks/Activity_Search/ceramics---youth-wheel-throwing/207187?locale=en-US</x:v>
      </x:c>
    </x:row>
    <x:row r="164" ht="38" customHeight="1">
      <x:c r="A164" s="7" t="str">
        <x:v>201106</x:v>
      </x:c>
      <x:c r="B164" s="12" t="str">
        <x:v>Continuing Education - AARP Smart Driver Course</x:v>
      </x:c>
      <x:c r="C164" s="12" t="str">
        <x:v>Charles Jordan Community Center</x:v>
      </x:c>
      <x:c r="D164" s="12" t="str">
        <x:v>Continuing Education</x:v>
      </x:c>
      <x:c r="E164" s="7" t="str">
        <x:v>active</x:v>
      </x:c>
      <x:c r="F164" s="7" t="str">
        <x:v>2026-09-12</x:v>
      </x:c>
      <x:c r="G164" s="7" t="str">
        <x:v>2026-09-19</x:v>
      </x:c>
      <x:c r="H164" s="7" t="n">
        <x:v>7</x:v>
      </x:c>
      <x:c r="I164" s="7"/>
      <x:c r="J164" s="7" t="n">
        <x:v>20</x:v>
      </x:c>
      <x:c r="K164" s="7" t="str">
        <x:v>unverified-denominator</x:v>
      </x:c>
      <x:c r="L164" s="7" t="d">
        <x:v>2026-09-16T05:12:38.111Z</x:v>
      </x:c>
      <x:c r="M164" s="7" t="str">
        <x:v>https://apm.activecommunities.com/portlandparks/Activity_Search/continuing-education---aarp-smart-driver-course/201106?locale=en-US</x:v>
      </x:c>
    </x:row>
    <x:row r="165" ht="38" customHeight="1">
      <x:c r="A165" s="8" t="str">
        <x:v>207706</x:v>
      </x:c>
      <x:c r="B165" s="11" t="str">
        <x:v>Continuing Education - AARP Smart Driver Course</x:v>
      </x:c>
      <x:c r="C165" s="11" t="str">
        <x:v>Parkrose High School</x:v>
      </x:c>
      <x:c r="D165" s="11" t="str">
        <x:v>Continuing Education</x:v>
      </x:c>
      <x:c r="E165" s="8" t="str">
        <x:v>future</x:v>
      </x:c>
      <x:c r="F165" s="8" t="str">
        <x:v>2026-10-06</x:v>
      </x:c>
      <x:c r="G165" s="8" t="str">
        <x:v>2026-10-08</x:v>
      </x:c>
      <x:c r="H165" s="8" t="n">
        <x:v>1</x:v>
      </x:c>
      <x:c r="I165" s="8"/>
      <x:c r="J165" s="8" t="n">
        <x:v>20</x:v>
      </x:c>
      <x:c r="K165" s="8" t="str">
        <x:v>unverified-denominator</x:v>
      </x:c>
      <x:c r="L165" s="8" t="d">
        <x:v>2026-09-16T05:12:38.111Z</x:v>
      </x:c>
      <x:c r="M165" s="8" t="str">
        <x:v>https://apm.activecommunities.com/portlandparks/Activity_Search/continuing-education---aarp-smart-driver-course/207706?locale=en-US</x:v>
      </x:c>
    </x:row>
    <x:row r="166" ht="38" customHeight="1">
      <x:c r="A166" s="7" t="str">
        <x:v>207707</x:v>
      </x:c>
      <x:c r="B166" s="12" t="str">
        <x:v>Continuing Education - AARP Smart Driver Course</x:v>
      </x:c>
      <x:c r="C166" s="12" t="str">
        <x:v>Charles Jordan Community Center</x:v>
      </x:c>
      <x:c r="D166" s="12" t="str">
        <x:v>Continuing Education</x:v>
      </x:c>
      <x:c r="E166" s="7" t="str">
        <x:v>future</x:v>
      </x:c>
      <x:c r="F166" s="7" t="str">
        <x:v>2026-11-14</x:v>
      </x:c>
      <x:c r="G166" s="7" t="str">
        <x:v>2026-11-21</x:v>
      </x:c>
      <x:c r="H166" s="7" t="n">
        <x:v>0</x:v>
      </x:c>
      <x:c r="I166" s="7"/>
      <x:c r="J166" s="7" t="n">
        <x:v>20</x:v>
      </x:c>
      <x:c r="K166" s="7" t="str">
        <x:v>unverified-denominator</x:v>
      </x:c>
      <x:c r="L166" s="7" t="d">
        <x:v>2026-09-16T05:12:38.111Z</x:v>
      </x:c>
      <x:c r="M166" s="7" t="str">
        <x:v>https://apm.activecommunities.com/portlandparks/Activity_Search/continuing-education---aarp-smart-driver-course/207707?locale=en-US</x:v>
      </x:c>
    </x:row>
    <x:row r="167" ht="38" customHeight="1">
      <x:c r="A167" s="8" t="str">
        <x:v>207708</x:v>
      </x:c>
      <x:c r="B167" s="11" t="str">
        <x:v>Continuing Education - AARP Smart Driver Course</x:v>
      </x:c>
      <x:c r="C167" s="11" t="str">
        <x:v>Southwest Community Center</x:v>
      </x:c>
      <x:c r="D167" s="11" t="str">
        <x:v>Continuing Education</x:v>
      </x:c>
      <x:c r="E167" s="8" t="str">
        <x:v>future</x:v>
      </x:c>
      <x:c r="F167" s="8" t="str">
        <x:v>2026-10-24</x:v>
      </x:c>
      <x:c r="G167" s="8" t="str">
        <x:v>2026-10-31</x:v>
      </x:c>
      <x:c r="H167" s="8" t="n">
        <x:v>2</x:v>
      </x:c>
      <x:c r="I167" s="8"/>
      <x:c r="J167" s="8" t="n">
        <x:v>16</x:v>
      </x:c>
      <x:c r="K167" s="8" t="str">
        <x:v>unverified-denominator</x:v>
      </x:c>
      <x:c r="L167" s="8" t="d">
        <x:v>2026-09-16T05:12:38.111Z</x:v>
      </x:c>
      <x:c r="M167" s="8" t="str">
        <x:v>https://apm.activecommunities.com/portlandparks/Activity_Search/continuing-education---aarp-smart-driver-course/207708?locale=en-US</x:v>
      </x:c>
    </x:row>
    <x:row r="168" ht="38" customHeight="1">
      <x:c r="A168" s="7" t="str">
        <x:v>207709</x:v>
      </x:c>
      <x:c r="B168" s="12" t="str">
        <x:v>Continuing Education - Medicare 2027 Preview</x:v>
      </x:c>
      <x:c r="C168" s="12" t="str">
        <x:v>East Portland Community Center</x:v>
      </x:c>
      <x:c r="D168" s="12" t="str">
        <x:v>Continuing Education</x:v>
      </x:c>
      <x:c r="E168" s="7" t="str">
        <x:v>undated</x:v>
      </x:c>
      <x:c r="F168" s="7" t="str">
        <x:v>2026-11-03</x:v>
      </x:c>
      <x:c r="G168" s="7" t="str"/>
      <x:c r="H168" s="7" t="n">
        <x:v>0</x:v>
      </x:c>
      <x:c r="I168" s="7"/>
      <x:c r="J168" s="7" t="n">
        <x:v>16</x:v>
      </x:c>
      <x:c r="K168" s="7" t="str">
        <x:v>unverified-denominator</x:v>
      </x:c>
      <x:c r="L168" s="7" t="d">
        <x:v>2026-09-16T05:12:38.111Z</x:v>
      </x:c>
      <x:c r="M168" s="7" t="str">
        <x:v>https://apm.activecommunities.com/portlandparks/Activity_Search/continuing-education---medicare-2027-preview/207709?locale=en-US</x:v>
      </x:c>
    </x:row>
    <x:row r="169" ht="38" customHeight="1">
      <x:c r="A169" s="8" t="str">
        <x:v>207710</x:v>
      </x:c>
      <x:c r="B169" s="11" t="str">
        <x:v>Continuing Education - Medicare 2027 Preview</x:v>
      </x:c>
      <x:c r="C169" s="11" t="str">
        <x:v>Southwest Community Center</x:v>
      </x:c>
      <x:c r="D169" s="11" t="str">
        <x:v>Continuing Education</x:v>
      </x:c>
      <x:c r="E169" s="8" t="str">
        <x:v>undated</x:v>
      </x:c>
      <x:c r="F169" s="8" t="str">
        <x:v>2026-11-04</x:v>
      </x:c>
      <x:c r="G169" s="8" t="str"/>
      <x:c r="H169" s="8" t="n">
        <x:v>0</x:v>
      </x:c>
      <x:c r="I169" s="8"/>
      <x:c r="J169" s="8" t="n">
        <x:v>16</x:v>
      </x:c>
      <x:c r="K169" s="8" t="str">
        <x:v>unverified-denominator</x:v>
      </x:c>
      <x:c r="L169" s="8" t="d">
        <x:v>2026-09-16T05:12:38.111Z</x:v>
      </x:c>
      <x:c r="M169" s="8" t="str">
        <x:v>https://apm.activecommunities.com/portlandparks/Activity_Search/continuing-education---medicare-2027-preview/207710?locale=en-US</x:v>
      </x:c>
    </x:row>
    <x:row r="170" ht="38" customHeight="1">
      <x:c r="A170" s="7" t="str">
        <x:v>207622</x:v>
      </x:c>
      <x:c r="B170" s="12" t="str">
        <x:v>Continuing Education - Medicare 2027 Preview</x:v>
      </x:c>
      <x:c r="C170" s="12" t="str">
        <x:v>Mt. Scott Community Center</x:v>
      </x:c>
      <x:c r="D170" s="12" t="str">
        <x:v>Continuing Education</x:v>
      </x:c>
      <x:c r="E170" s="7" t="str">
        <x:v>undated</x:v>
      </x:c>
      <x:c r="F170" s="7" t="str">
        <x:v>2026-10-20</x:v>
      </x:c>
      <x:c r="G170" s="7" t="str"/>
      <x:c r="H170" s="7" t="n">
        <x:v>16</x:v>
      </x:c>
      <x:c r="I170" s="7" t="n">
        <x:v>2</x:v>
      </x:c>
      <x:c r="J170" s="7" t="n">
        <x:v>16</x:v>
      </x:c>
      <x:c r="K170" s="7" t="str">
        <x:v>unverified-denominator</x:v>
      </x:c>
      <x:c r="L170" s="7" t="d">
        <x:v>2026-09-16T05:12:38.111Z</x:v>
      </x:c>
      <x:c r="M170" s="7" t="str">
        <x:v>https://apm.activecommunities.com/portlandparks/Activity_Search/continuing-education---medicare-2027-preview/207622?locale=en-US</x:v>
      </x:c>
    </x:row>
    <x:row r="171" ht="38" customHeight="1">
      <x:c r="A171" s="8" t="str">
        <x:v>200083</x:v>
      </x:c>
      <x:c r="B171" s="11" t="str">
        <x:v>Continuing Education - New To Medicare</x:v>
      </x:c>
      <x:c r="C171" s="11" t="str">
        <x:v>East Portland Community Center</x:v>
      </x:c>
      <x:c r="D171" s="11" t="str">
        <x:v>Continuing Education</x:v>
      </x:c>
      <x:c r="E171" s="8" t="str">
        <x:v>undated</x:v>
      </x:c>
      <x:c r="F171" s="8" t="str">
        <x:v>2026-09-22</x:v>
      </x:c>
      <x:c r="G171" s="8" t="str"/>
      <x:c r="H171" s="8" t="n">
        <x:v>5</x:v>
      </x:c>
      <x:c r="I171" s="8"/>
      <x:c r="J171" s="8" t="n">
        <x:v>16</x:v>
      </x:c>
      <x:c r="K171" s="8" t="str">
        <x:v>unverified-denominator</x:v>
      </x:c>
      <x:c r="L171" s="8" t="d">
        <x:v>2026-09-16T05:12:38.111Z</x:v>
      </x:c>
      <x:c r="M171" s="8" t="str">
        <x:v>https://apm.activecommunities.com/portlandparks/Activity_Search/continuing-education---new-to-medicare/200083?locale=en-US</x:v>
      </x:c>
    </x:row>
    <x:row r="172" ht="38" customHeight="1">
      <x:c r="A172" s="7" t="str">
        <x:v>207711</x:v>
      </x:c>
      <x:c r="B172" s="12" t="str">
        <x:v>Conversations on Aging - Age Cafe</x:v>
      </x:c>
      <x:c r="C172" s="12" t="str">
        <x:v>Southwest Community Center</x:v>
      </x:c>
      <x:c r="D172" s="12" t="str">
        <x:v>Continuing Education</x:v>
      </x:c>
      <x:c r="E172" s="7" t="str">
        <x:v>undated</x:v>
      </x:c>
      <x:c r="F172" s="7" t="str">
        <x:v>2026-10-23</x:v>
      </x:c>
      <x:c r="G172" s="7" t="str"/>
      <x:c r="H172" s="7" t="n">
        <x:v>4</x:v>
      </x:c>
      <x:c r="I172" s="7"/>
      <x:c r="J172" s="7" t="n">
        <x:v>12</x:v>
      </x:c>
      <x:c r="K172" s="7" t="str">
        <x:v>unverified-denominator</x:v>
      </x:c>
      <x:c r="L172" s="7" t="d">
        <x:v>2026-09-16T05:12:38.111Z</x:v>
      </x:c>
      <x:c r="M172" s="7" t="str">
        <x:v>https://apm.activecommunities.com/portlandparks/Activity_Search/conversations-on-aging---age-cafe/207711?locale=en-US</x:v>
      </x:c>
    </x:row>
    <x:row r="173" ht="38" customHeight="1">
      <x:c r="A173" s="8" t="str">
        <x:v>207623</x:v>
      </x:c>
      <x:c r="B173" s="11" t="str">
        <x:v>Conversations on Aging - Friendships As We Age</x:v>
      </x:c>
      <x:c r="C173" s="11" t="str">
        <x:v>Mt. Scott Community Center</x:v>
      </x:c>
      <x:c r="D173" s="11" t="str">
        <x:v>Continuing Education</x:v>
      </x:c>
      <x:c r="E173" s="8" t="str">
        <x:v>undated</x:v>
      </x:c>
      <x:c r="F173" s="8" t="str">
        <x:v>2026-12-07</x:v>
      </x:c>
      <x:c r="G173" s="8" t="str"/>
      <x:c r="H173" s="8" t="n">
        <x:v>0</x:v>
      </x:c>
      <x:c r="I173" s="8"/>
      <x:c r="J173" s="8" t="n">
        <x:v>12</x:v>
      </x:c>
      <x:c r="K173" s="8" t="str">
        <x:v>unverified-denominator</x:v>
      </x:c>
      <x:c r="L173" s="8" t="d">
        <x:v>2026-09-16T05:12:38.111Z</x:v>
      </x:c>
      <x:c r="M173" s="8" t="str">
        <x:v>https://apm.activecommunities.com/portlandparks/Activity_Search/conversations-on-aging---friendships-as-we-age/207623?locale=en-US</x:v>
      </x:c>
    </x:row>
    <x:row r="174" ht="38" customHeight="1">
      <x:c r="A174" s="7" t="str">
        <x:v>207620</x:v>
      </x:c>
      <x:c r="B174" s="12" t="str">
        <x:v>Conversations on Aging - Life Stories</x:v>
      </x:c>
      <x:c r="C174" s="12" t="str">
        <x:v>Peninsula Park Community Center</x:v>
      </x:c>
      <x:c r="D174" s="12" t="str">
        <x:v>Continuing Education</x:v>
      </x:c>
      <x:c r="E174" s="7" t="str">
        <x:v>future</x:v>
      </x:c>
      <x:c r="F174" s="7" t="str">
        <x:v>2026-09-28</x:v>
      </x:c>
      <x:c r="G174" s="7" t="str">
        <x:v>2026-11-16</x:v>
      </x:c>
      <x:c r="H174" s="7" t="n">
        <x:v>3</x:v>
      </x:c>
      <x:c r="I174" s="7"/>
      <x:c r="J174" s="7" t="n">
        <x:v>8</x:v>
      </x:c>
      <x:c r="K174" s="7" t="str">
        <x:v>unverified-denominator</x:v>
      </x:c>
      <x:c r="L174" s="7" t="d">
        <x:v>2026-09-16T05:12:38.111Z</x:v>
      </x:c>
      <x:c r="M174" s="7" t="str">
        <x:v>https://apm.activecommunities.com/portlandparks/Activity_Search/conversations-on-aging---life-stories/207620?locale=en-US</x:v>
      </x:c>
    </x:row>
    <x:row r="175" ht="38" customHeight="1">
      <x:c r="A175" s="8" t="str">
        <x:v>207712</x:v>
      </x:c>
      <x:c r="B175" s="11" t="str">
        <x:v>Conversations on Aging - Talking With Your Medical Provider</x:v>
      </x:c>
      <x:c r="C175" s="11" t="str">
        <x:v>East Portland Community Center</x:v>
      </x:c>
      <x:c r="D175" s="11" t="str">
        <x:v>Continuing Education</x:v>
      </x:c>
      <x:c r="E175" s="8" t="str">
        <x:v>undated</x:v>
      </x:c>
      <x:c r="F175" s="8" t="str">
        <x:v>2026-11-18</x:v>
      </x:c>
      <x:c r="G175" s="8" t="str"/>
      <x:c r="H175" s="8" t="n">
        <x:v>0</x:v>
      </x:c>
      <x:c r="I175" s="8"/>
      <x:c r="J175" s="8" t="n">
        <x:v>12</x:v>
      </x:c>
      <x:c r="K175" s="8" t="str">
        <x:v>unverified-denominator</x:v>
      </x:c>
      <x:c r="L175" s="8" t="d">
        <x:v>2026-09-16T05:12:38.111Z</x:v>
      </x:c>
      <x:c r="M175" s="8" t="str">
        <x:v>https://apm.activecommunities.com/portlandparks/Activity_Search/conversations-on-aging---talking-with-your-medical-provider/207712?locale=en-US</x:v>
      </x:c>
    </x:row>
    <x:row r="176" ht="38" customHeight="1">
      <x:c r="A176" s="7" t="str">
        <x:v>207654</x:v>
      </x:c>
      <x:c r="B176" s="12" t="str">
        <x:v>Creative Dance - Movement &amp; Me</x:v>
      </x:c>
      <x:c r="C176" s="12" t="str">
        <x:v>Woodstock Cmty Ctr</x:v>
      </x:c>
      <x:c r="D176" s="12" t="str">
        <x:v>Dance</x:v>
      </x:c>
      <x:c r="E176" s="7" t="str">
        <x:v>future</x:v>
      </x:c>
      <x:c r="F176" s="7" t="str">
        <x:v>2026-09-30</x:v>
      </x:c>
      <x:c r="G176" s="7" t="str">
        <x:v>2026-10-28</x:v>
      </x:c>
      <x:c r="H176" s="7" t="n">
        <x:v>8</x:v>
      </x:c>
      <x:c r="I176" s="7" t="n">
        <x:v>3</x:v>
      </x:c>
      <x:c r="J176" s="7" t="n">
        <x:v>8</x:v>
      </x:c>
      <x:c r="K176" s="7" t="str">
        <x:v>unverified-denominator</x:v>
      </x:c>
      <x:c r="L176" s="7" t="d">
        <x:v>2026-09-16T05:12:38.111Z</x:v>
      </x:c>
      <x:c r="M176" s="7" t="str">
        <x:v>https://apm.activecommunities.com/portlandparks/Activity_Search/creative-dance---movement-me/207654?locale=en-US</x:v>
      </x:c>
    </x:row>
    <x:row r="177" ht="38" customHeight="1">
      <x:c r="A177" s="8" t="str">
        <x:v>207889</x:v>
      </x:c>
      <x:c r="B177" s="11" t="str">
        <x:v>Creative Dance - Movement &amp; Me</x:v>
      </x:c>
      <x:c r="C177" s="11" t="str">
        <x:v>Woodstock Cmty Ctr</x:v>
      </x:c>
      <x:c r="D177" s="11" t="str">
        <x:v>Dance</x:v>
      </x:c>
      <x:c r="E177" s="8" t="str">
        <x:v>future</x:v>
      </x:c>
      <x:c r="F177" s="8" t="str">
        <x:v>2026-11-04</x:v>
      </x:c>
      <x:c r="G177" s="8" t="str">
        <x:v>2026-12-09</x:v>
      </x:c>
      <x:c r="H177" s="8" t="n">
        <x:v>0</x:v>
      </x:c>
      <x:c r="I177" s="8"/>
      <x:c r="J177" s="8" t="n">
        <x:v>8</x:v>
      </x:c>
      <x:c r="K177" s="8" t="str">
        <x:v>unverified-denominator</x:v>
      </x:c>
      <x:c r="L177" s="8" t="d">
        <x:v>2026-09-16T05:12:38.111Z</x:v>
      </x:c>
      <x:c r="M177" s="8" t="str">
        <x:v>https://apm.activecommunities.com/portlandparks/Activity_Search/creative-dance---movement-me/207889?locale=en-US</x:v>
      </x:c>
    </x:row>
    <x:row r="178" ht="38" customHeight="1">
      <x:c r="A178" s="7" t="str">
        <x:v>204678</x:v>
      </x:c>
      <x:c r="B178" s="12" t="str">
        <x:v>Creative Dance - Movement &amp; Me</x:v>
      </x:c>
      <x:c r="C178" s="12" t="str">
        <x:v>Woodstock Cmty Ctr</x:v>
      </x:c>
      <x:c r="D178" s="12" t="str">
        <x:v>Dance</x:v>
      </x:c>
      <x:c r="E178" s="7" t="str">
        <x:v>active</x:v>
      </x:c>
      <x:c r="F178" s="7" t="str">
        <x:v>2026-09-02</x:v>
      </x:c>
      <x:c r="G178" s="7" t="str">
        <x:v>2026-09-23</x:v>
      </x:c>
      <x:c r="H178" s="7" t="n">
        <x:v>8</x:v>
      </x:c>
      <x:c r="I178" s="7" t="n">
        <x:v>6</x:v>
      </x:c>
      <x:c r="J178" s="7" t="n">
        <x:v>8</x:v>
      </x:c>
      <x:c r="K178" s="7" t="str">
        <x:v>unverified-denominator</x:v>
      </x:c>
      <x:c r="L178" s="7" t="d">
        <x:v>2026-09-16T05:12:38.111Z</x:v>
      </x:c>
      <x:c r="M178" s="7" t="str">
        <x:v>https://apm.activecommunities.com/portlandparks/Activity_Search/creative-dance---movement-me/204678?locale=en-US</x:v>
      </x:c>
    </x:row>
    <x:row r="179" ht="38" customHeight="1">
      <x:c r="A179" s="8" t="str">
        <x:v>208729</x:v>
      </x:c>
      <x:c r="B179" s="11" t="str">
        <x:v>Creative Writing - Characters and Memoirs</x:v>
      </x:c>
      <x:c r="C179" s="11" t="str">
        <x:v>Montavilla Cmty Ctr</x:v>
      </x:c>
      <x:c r="D179" s="11" t="str">
        <x:v>Arts - Literary, Writing</x:v>
      </x:c>
      <x:c r="E179" s="8" t="str">
        <x:v>future</x:v>
      </x:c>
      <x:c r="F179" s="8" t="str">
        <x:v>2026-11-07</x:v>
      </x:c>
      <x:c r="G179" s="8" t="str">
        <x:v>2026-11-14</x:v>
      </x:c>
      <x:c r="H179" s="8" t="n">
        <x:v>3</x:v>
      </x:c>
      <x:c r="I179" s="8"/>
      <x:c r="J179" s="8" t="n">
        <x:v>12</x:v>
      </x:c>
      <x:c r="K179" s="8" t="str">
        <x:v>unverified-denominator</x:v>
      </x:c>
      <x:c r="L179" s="8" t="d">
        <x:v>2026-09-16T05:12:38.111Z</x:v>
      </x:c>
      <x:c r="M179" s="8" t="str">
        <x:v>https://apm.activecommunities.com/portlandparks/Activity_Search/creative-writing---characters-and-memoirs/208729?locale=en-US</x:v>
      </x:c>
    </x:row>
    <x:row r="180" ht="38" customHeight="1">
      <x:c r="A180" s="7" t="str">
        <x:v>208730</x:v>
      </x:c>
      <x:c r="B180" s="12" t="str">
        <x:v>Creative Writing - Putting it All Together</x:v>
      </x:c>
      <x:c r="C180" s="12" t="str">
        <x:v>Montavilla Cmty Ctr</x:v>
      </x:c>
      <x:c r="D180" s="12" t="str">
        <x:v>Arts - Literary, Writing</x:v>
      </x:c>
      <x:c r="E180" s="7" t="str">
        <x:v>undated</x:v>
      </x:c>
      <x:c r="F180" s="7" t="str">
        <x:v>2026-11-21</x:v>
      </x:c>
      <x:c r="G180" s="7" t="str"/>
      <x:c r="H180" s="7" t="n">
        <x:v>0</x:v>
      </x:c>
      <x:c r="I180" s="7"/>
      <x:c r="J180" s="7" t="n">
        <x:v>12</x:v>
      </x:c>
      <x:c r="K180" s="7" t="str">
        <x:v>unverified-denominator</x:v>
      </x:c>
      <x:c r="L180" s="7" t="d">
        <x:v>2026-09-16T05:12:38.111Z</x:v>
      </x:c>
      <x:c r="M180" s="7" t="str">
        <x:v>https://apm.activecommunities.com/portlandparks/Activity_Search/creative-writing---putting-it-all-together/208730?locale=en-US</x:v>
      </x:c>
    </x:row>
    <x:row r="181" ht="38" customHeight="1">
      <x:c r="A181" s="8" t="str">
        <x:v>208728</x:v>
      </x:c>
      <x:c r="B181" s="11" t="str">
        <x:v>Creative Writing - World Building</x:v>
      </x:c>
      <x:c r="C181" s="11" t="str">
        <x:v>Montavilla Cmty Ctr</x:v>
      </x:c>
      <x:c r="D181" s="11" t="str">
        <x:v>Arts - Literary, Writing</x:v>
      </x:c>
      <x:c r="E181" s="8" t="str">
        <x:v>future</x:v>
      </x:c>
      <x:c r="F181" s="8" t="str">
        <x:v>2026-11-07</x:v>
      </x:c>
      <x:c r="G181" s="8" t="str">
        <x:v>2026-11-14</x:v>
      </x:c>
      <x:c r="H181" s="8" t="n">
        <x:v>1</x:v>
      </x:c>
      <x:c r="I181" s="8"/>
      <x:c r="J181" s="8" t="n">
        <x:v>12</x:v>
      </x:c>
      <x:c r="K181" s="8" t="str">
        <x:v>unverified-denominator</x:v>
      </x:c>
      <x:c r="L181" s="8" t="d">
        <x:v>2026-09-16T05:12:38.111Z</x:v>
      </x:c>
      <x:c r="M181" s="8" t="str">
        <x:v>https://apm.activecommunities.com/portlandparks/Activity_Search/creative-writing---world-building/208728?locale=en-US</x:v>
      </x:c>
    </x:row>
    <x:row r="182" ht="38" customHeight="1">
      <x:c r="A182" s="7" t="str">
        <x:v>208686</x:v>
      </x:c>
      <x:c r="B182" s="12" t="str">
        <x:v>Crochet - Beginner</x:v>
      </x:c>
      <x:c r="C182" s="12" t="str">
        <x:v>Charles Jordan Cmty Ctr</x:v>
      </x:c>
      <x:c r="D182" s="12" t="str">
        <x:v>Arts &amp; Crafts - Fiber &amp; Handcrafts</x:v>
      </x:c>
      <x:c r="E182" s="7" t="str">
        <x:v>future</x:v>
      </x:c>
      <x:c r="F182" s="7" t="str">
        <x:v>2026-10-02</x:v>
      </x:c>
      <x:c r="G182" s="7" t="str">
        <x:v>2026-10-30</x:v>
      </x:c>
      <x:c r="H182" s="7" t="n">
        <x:v>2</x:v>
      </x:c>
      <x:c r="I182" s="7"/>
      <x:c r="J182" s="7" t="n">
        <x:v>10</x:v>
      </x:c>
      <x:c r="K182" s="7" t="str">
        <x:v>unverified-denominator</x:v>
      </x:c>
      <x:c r="L182" s="7" t="d">
        <x:v>2026-09-16T05:12:38.111Z</x:v>
      </x:c>
      <x:c r="M182" s="7" t="str">
        <x:v>https://apm.activecommunities.com/portlandparks/Activity_Search/crochet---beginner/208686?locale=en-US</x:v>
      </x:c>
    </x:row>
    <x:row r="183" ht="38" customHeight="1">
      <x:c r="A183" s="8" t="str">
        <x:v>208687</x:v>
      </x:c>
      <x:c r="B183" s="11" t="str">
        <x:v>Crochet - Beginner</x:v>
      </x:c>
      <x:c r="C183" s="11" t="str">
        <x:v>Charles Jordan Cmty Ctr</x:v>
      </x:c>
      <x:c r="D183" s="11" t="str">
        <x:v>Arts &amp; Crafts - Fiber &amp; Handcrafts</x:v>
      </x:c>
      <x:c r="E183" s="8" t="str">
        <x:v>future</x:v>
      </x:c>
      <x:c r="F183" s="8" t="str">
        <x:v>2026-11-06</x:v>
      </x:c>
      <x:c r="G183" s="8" t="str">
        <x:v>2026-12-11</x:v>
      </x:c>
      <x:c r="H183" s="8" t="n">
        <x:v>0</x:v>
      </x:c>
      <x:c r="I183" s="8"/>
      <x:c r="J183" s="8" t="n">
        <x:v>10</x:v>
      </x:c>
      <x:c r="K183" s="8" t="str">
        <x:v>unverified-denominator</x:v>
      </x:c>
      <x:c r="L183" s="8" t="d">
        <x:v>2026-09-16T05:12:38.111Z</x:v>
      </x:c>
      <x:c r="M183" s="8" t="str">
        <x:v>https://apm.activecommunities.com/portlandparks/Activity_Search/crochet---beginner/208687?locale=en-US</x:v>
      </x:c>
    </x:row>
    <x:row r="184" ht="38" customHeight="1">
      <x:c r="A184" s="7" t="str">
        <x:v>208605</x:v>
      </x:c>
      <x:c r="B184" s="12" t="str">
        <x:v>Crochet - Beginner</x:v>
      </x:c>
      <x:c r="C184" s="12" t="str">
        <x:v>Matt Dishman Cmty Ctr</x:v>
      </x:c>
      <x:c r="D184" s="12" t="str">
        <x:v>Arts &amp; Crafts - Fiber &amp; Handcrafts</x:v>
      </x:c>
      <x:c r="E184" s="7" t="str">
        <x:v>future</x:v>
      </x:c>
      <x:c r="F184" s="7" t="str">
        <x:v>2026-10-02</x:v>
      </x:c>
      <x:c r="G184" s="7" t="str">
        <x:v>2026-10-30</x:v>
      </x:c>
      <x:c r="H184" s="7" t="n">
        <x:v>3</x:v>
      </x:c>
      <x:c r="I184" s="7"/>
      <x:c r="J184" s="7" t="n">
        <x:v>10</x:v>
      </x:c>
      <x:c r="K184" s="7" t="str">
        <x:v>unverified-denominator</x:v>
      </x:c>
      <x:c r="L184" s="7" t="d">
        <x:v>2026-09-16T05:12:38.111Z</x:v>
      </x:c>
      <x:c r="M184" s="7" t="str">
        <x:v>https://apm.activecommunities.com/portlandparks/Activity_Search/crochet---beginner/208605?locale=en-US</x:v>
      </x:c>
    </x:row>
    <x:row r="185" ht="38" customHeight="1">
      <x:c r="A185" s="8" t="str">
        <x:v>208606</x:v>
      </x:c>
      <x:c r="B185" s="11" t="str">
        <x:v>Crochet - Beginner</x:v>
      </x:c>
      <x:c r="C185" s="11" t="str">
        <x:v>Matt Dishman Cmty Ctr</x:v>
      </x:c>
      <x:c r="D185" s="11" t="str">
        <x:v>Arts &amp; Crafts - Fiber &amp; Handcrafts</x:v>
      </x:c>
      <x:c r="E185" s="8" t="str">
        <x:v>future</x:v>
      </x:c>
      <x:c r="F185" s="8" t="str">
        <x:v>2026-11-06</x:v>
      </x:c>
      <x:c r="G185" s="8" t="str">
        <x:v>2026-12-11</x:v>
      </x:c>
      <x:c r="H185" s="8" t="n">
        <x:v>0</x:v>
      </x:c>
      <x:c r="I185" s="8"/>
      <x:c r="J185" s="8" t="n">
        <x:v>10</x:v>
      </x:c>
      <x:c r="K185" s="8" t="str">
        <x:v>unverified-denominator</x:v>
      </x:c>
      <x:c r="L185" s="8" t="d">
        <x:v>2026-09-16T05:12:38.111Z</x:v>
      </x:c>
      <x:c r="M185" s="8" t="str">
        <x:v>https://apm.activecommunities.com/portlandparks/Activity_Search/crochet---beginner/208606?locale=en-US</x:v>
      </x:c>
    </x:row>
    <x:row r="186" ht="38" customHeight="1">
      <x:c r="A186" s="7" t="str">
        <x:v>208716</x:v>
      </x:c>
      <x:c r="B186" s="12" t="str">
        <x:v>Dance - Adult Ballet I</x:v>
      </x:c>
      <x:c r="C186" s="12" t="str">
        <x:v>Multnomah Arts Ctr</x:v>
      </x:c>
      <x:c r="D186" s="12" t="str">
        <x:v>Dance</x:v>
      </x:c>
      <x:c r="E186" s="7" t="str">
        <x:v>future</x:v>
      </x:c>
      <x:c r="F186" s="7" t="str">
        <x:v>2026-09-28</x:v>
      </x:c>
      <x:c r="G186" s="7" t="str">
        <x:v>2026-12-07</x:v>
      </x:c>
      <x:c r="H186" s="7" t="n">
        <x:v>10</x:v>
      </x:c>
      <x:c r="I186" s="7" t="n">
        <x:v>8</x:v>
      </x:c>
      <x:c r="J186" s="7" t="n">
        <x:v>10</x:v>
      </x:c>
      <x:c r="K186" s="7" t="str">
        <x:v>unverified-denominator</x:v>
      </x:c>
      <x:c r="L186" s="7" t="d">
        <x:v>2026-09-16T05:12:38.111Z</x:v>
      </x:c>
      <x:c r="M186" s="7" t="str">
        <x:v>https://apm.activecommunities.com/portlandparks/Activity_Search/dance---adult-ballet-i/208716?locale=en-US</x:v>
      </x:c>
    </x:row>
    <x:row r="187" ht="38" customHeight="1">
      <x:c r="A187" s="8" t="str">
        <x:v>208772</x:v>
      </x:c>
      <x:c r="B187" s="11" t="str">
        <x:v>Dance - Adult Ballet I</x:v>
      </x:c>
      <x:c r="C187" s="11" t="str">
        <x:v>Multnomah Arts Ctr</x:v>
      </x:c>
      <x:c r="D187" s="11" t="str">
        <x:v>Dance</x:v>
      </x:c>
      <x:c r="E187" s="8" t="str">
        <x:v>future</x:v>
      </x:c>
      <x:c r="F187" s="8" t="str">
        <x:v>2026-10-29</x:v>
      </x:c>
      <x:c r="G187" s="8" t="str">
        <x:v>2026-12-10</x:v>
      </x:c>
      <x:c r="H187" s="8" t="n">
        <x:v>10</x:v>
      </x:c>
      <x:c r="I187" s="8" t="n">
        <x:v>2</x:v>
      </x:c>
      <x:c r="J187" s="8" t="n">
        <x:v>10</x:v>
      </x:c>
      <x:c r="K187" s="8" t="str">
        <x:v>unverified-denominator</x:v>
      </x:c>
      <x:c r="L187" s="8" t="d">
        <x:v>2026-09-16T05:12:38.111Z</x:v>
      </x:c>
      <x:c r="M187" s="8" t="str">
        <x:v>https://apm.activecommunities.com/portlandparks/Activity_Search/dance---adult-ballet-i/208772?locale=en-US</x:v>
      </x:c>
    </x:row>
    <x:row r="188" ht="38" customHeight="1">
      <x:c r="A188" s="7" t="str">
        <x:v>208773</x:v>
      </x:c>
      <x:c r="B188" s="12" t="str">
        <x:v>Dance - Adult Ballet II</x:v>
      </x:c>
      <x:c r="C188" s="12" t="str">
        <x:v>Multnomah Arts Ctr</x:v>
      </x:c>
      <x:c r="D188" s="12" t="str">
        <x:v>Dance</x:v>
      </x:c>
      <x:c r="E188" s="7" t="str">
        <x:v>future</x:v>
      </x:c>
      <x:c r="F188" s="7" t="str">
        <x:v>2026-10-29</x:v>
      </x:c>
      <x:c r="G188" s="7" t="str">
        <x:v>2026-12-10</x:v>
      </x:c>
      <x:c r="H188" s="7" t="n">
        <x:v>2</x:v>
      </x:c>
      <x:c r="I188" s="7"/>
      <x:c r="J188" s="7" t="n">
        <x:v>10</x:v>
      </x:c>
      <x:c r="K188" s="7" t="str">
        <x:v>unverified-denominator</x:v>
      </x:c>
      <x:c r="L188" s="7" t="d">
        <x:v>2026-09-16T05:12:38.111Z</x:v>
      </x:c>
      <x:c r="M188" s="7" t="str">
        <x:v>https://apm.activecommunities.com/portlandparks/Activity_Search/dance---adult-ballet-ii/208773?locale=en-US</x:v>
      </x:c>
    </x:row>
    <x:row r="189" ht="38" customHeight="1">
      <x:c r="A189" s="8" t="str">
        <x:v>208718</x:v>
      </x:c>
      <x:c r="B189" s="11" t="str">
        <x:v>Dance - Adult Ballet II</x:v>
      </x:c>
      <x:c r="C189" s="11" t="str">
        <x:v>Multnomah Arts Ctr</x:v>
      </x:c>
      <x:c r="D189" s="11" t="str">
        <x:v>Dance</x:v>
      </x:c>
      <x:c r="E189" s="8" t="str">
        <x:v>future</x:v>
      </x:c>
      <x:c r="F189" s="8" t="str">
        <x:v>2026-09-28</x:v>
      </x:c>
      <x:c r="G189" s="8" t="str">
        <x:v>2026-12-07</x:v>
      </x:c>
      <x:c r="H189" s="8" t="n">
        <x:v>10</x:v>
      </x:c>
      <x:c r="I189" s="8" t="n">
        <x:v>1</x:v>
      </x:c>
      <x:c r="J189" s="8" t="n">
        <x:v>10</x:v>
      </x:c>
      <x:c r="K189" s="8" t="str">
        <x:v>unverified-denominator</x:v>
      </x:c>
      <x:c r="L189" s="8" t="d">
        <x:v>2026-09-16T05:12:38.111Z</x:v>
      </x:c>
      <x:c r="M189" s="8" t="str">
        <x:v>https://apm.activecommunities.com/portlandparks/Activity_Search/dance---adult-ballet-ii/208718?locale=en-US</x:v>
      </x:c>
    </x:row>
    <x:row r="190" ht="38" customHeight="1">
      <x:c r="A190" s="7" t="str">
        <x:v>208791</x:v>
      </x:c>
      <x:c r="B190" s="12" t="str">
        <x:v>Dance - Ballet I</x:v>
      </x:c>
      <x:c r="C190" s="12" t="str">
        <x:v>Multnomah Arts Ctr</x:v>
      </x:c>
      <x:c r="D190" s="12" t="str">
        <x:v>Dance</x:v>
      </x:c>
      <x:c r="E190" s="7" t="str">
        <x:v>future</x:v>
      </x:c>
      <x:c r="F190" s="7" t="str">
        <x:v>2026-09-28</x:v>
      </x:c>
      <x:c r="G190" s="7" t="str">
        <x:v>2026-12-07</x:v>
      </x:c>
      <x:c r="H190" s="7" t="n">
        <x:v>2</x:v>
      </x:c>
      <x:c r="I190" s="7"/>
      <x:c r="J190" s="7" t="n">
        <x:v>10</x:v>
      </x:c>
      <x:c r="K190" s="7" t="str">
        <x:v>unverified-denominator</x:v>
      </x:c>
      <x:c r="L190" s="7" t="d">
        <x:v>2026-09-16T05:12:38.111Z</x:v>
      </x:c>
      <x:c r="M190" s="7" t="str">
        <x:v>https://apm.activecommunities.com/portlandparks/Activity_Search/dance---ballet-i/208791?locale=en-US</x:v>
      </x:c>
    </x:row>
    <x:row r="191" ht="38" customHeight="1">
      <x:c r="A191" s="8" t="str">
        <x:v>208804</x:v>
      </x:c>
      <x:c r="B191" s="11" t="str">
        <x:v>Dance - Ballet I</x:v>
      </x:c>
      <x:c r="C191" s="11" t="str">
        <x:v>Multnomah Arts Ctr</x:v>
      </x:c>
      <x:c r="D191" s="11" t="str">
        <x:v>Dance</x:v>
      </x:c>
      <x:c r="E191" s="8" t="str">
        <x:v>future</x:v>
      </x:c>
      <x:c r="F191" s="8" t="str">
        <x:v>2026-10-03</x:v>
      </x:c>
      <x:c r="G191" s="8" t="str">
        <x:v>2026-12-12</x:v>
      </x:c>
      <x:c r="H191" s="8" t="n">
        <x:v>0</x:v>
      </x:c>
      <x:c r="I191" s="8"/>
      <x:c r="J191" s="8" t="n">
        <x:v>12</x:v>
      </x:c>
      <x:c r="K191" s="8" t="str">
        <x:v>unverified-denominator</x:v>
      </x:c>
      <x:c r="L191" s="8" t="d">
        <x:v>2026-09-16T05:12:38.111Z</x:v>
      </x:c>
      <x:c r="M191" s="8" t="str">
        <x:v>https://apm.activecommunities.com/portlandparks/Activity_Search/dance---ballet-i/208804?locale=en-US</x:v>
      </x:c>
    </x:row>
    <x:row r="192" ht="38" customHeight="1">
      <x:c r="A192" s="7" t="str">
        <x:v>208801</x:v>
      </x:c>
      <x:c r="B192" s="12" t="str">
        <x:v>Dance - Ballet I</x:v>
      </x:c>
      <x:c r="C192" s="12" t="str">
        <x:v>Multnomah Arts Ctr</x:v>
      </x:c>
      <x:c r="D192" s="12" t="str">
        <x:v>Dance</x:v>
      </x:c>
      <x:c r="E192" s="7" t="str">
        <x:v>future</x:v>
      </x:c>
      <x:c r="F192" s="7" t="str">
        <x:v>2026-09-29</x:v>
      </x:c>
      <x:c r="G192" s="7" t="str">
        <x:v>2026-12-01</x:v>
      </x:c>
      <x:c r="H192" s="7" t="n">
        <x:v>5</x:v>
      </x:c>
      <x:c r="I192" s="7"/>
      <x:c r="J192" s="7" t="n">
        <x:v>10</x:v>
      </x:c>
      <x:c r="K192" s="7" t="str">
        <x:v>unverified-denominator</x:v>
      </x:c>
      <x:c r="L192" s="7" t="d">
        <x:v>2026-09-16T05:12:38.111Z</x:v>
      </x:c>
      <x:c r="M192" s="7" t="str">
        <x:v>https://apm.activecommunities.com/portlandparks/Activity_Search/dance---ballet-i/208801?locale=en-US</x:v>
      </x:c>
    </x:row>
    <x:row r="193" ht="38" customHeight="1">
      <x:c r="A193" s="8" t="str">
        <x:v>208712</x:v>
      </x:c>
      <x:c r="B193" s="11" t="str">
        <x:v>Dance - Belly Dancing Discovery</x:v>
      </x:c>
      <x:c r="C193" s="11" t="str">
        <x:v>Mt Tabor SUN Cmty School</x:v>
      </x:c>
      <x:c r="D193" s="11" t="str">
        <x:v>Dance</x:v>
      </x:c>
      <x:c r="E193" s="8" t="str">
        <x:v>future</x:v>
      </x:c>
      <x:c r="F193" s="8" t="str">
        <x:v>2026-09-30</x:v>
      </x:c>
      <x:c r="G193" s="8" t="str">
        <x:v>2026-12-09</x:v>
      </x:c>
      <x:c r="H193" s="8" t="n">
        <x:v>1</x:v>
      </x:c>
      <x:c r="I193" s="8"/>
      <x:c r="J193" s="8" t="n">
        <x:v>14</x:v>
      </x:c>
      <x:c r="K193" s="8" t="str">
        <x:v>unverified-denominator</x:v>
      </x:c>
      <x:c r="L193" s="8" t="d">
        <x:v>2026-09-16T05:12:38.111Z</x:v>
      </x:c>
      <x:c r="M193" s="8" t="str">
        <x:v>https://apm.activecommunities.com/portlandparks/Activity_Search/dance---belly-dancing-discovery/208712?locale=en-US</x:v>
      </x:c>
    </x:row>
    <x:row r="194" ht="38" customHeight="1">
      <x:c r="A194" s="7" t="str">
        <x:v>208802</x:v>
      </x:c>
      <x:c r="B194" s="12" t="str">
        <x:v>Dance - Broadway Dancers</x:v>
      </x:c>
      <x:c r="C194" s="12" t="str">
        <x:v>Multnomah Arts Ctr</x:v>
      </x:c>
      <x:c r="D194" s="12" t="str">
        <x:v>Dance</x:v>
      </x:c>
      <x:c r="E194" s="7" t="str">
        <x:v>future</x:v>
      </x:c>
      <x:c r="F194" s="7" t="str">
        <x:v>2026-09-29</x:v>
      </x:c>
      <x:c r="G194" s="7" t="str">
        <x:v>2026-12-01</x:v>
      </x:c>
      <x:c r="H194" s="7" t="n">
        <x:v>8</x:v>
      </x:c>
      <x:c r="I194" s="7"/>
      <x:c r="J194" s="7" t="n">
        <x:v>10</x:v>
      </x:c>
      <x:c r="K194" s="7" t="str">
        <x:v>unverified-denominator</x:v>
      </x:c>
      <x:c r="L194" s="7" t="d">
        <x:v>2026-09-16T05:12:38.111Z</x:v>
      </x:c>
      <x:c r="M194" s="7" t="str">
        <x:v>https://apm.activecommunities.com/portlandparks/Activity_Search/dance---broadway-dancers/208802?locale=en-US</x:v>
      </x:c>
    </x:row>
    <x:row r="195" ht="38" customHeight="1">
      <x:c r="A195" s="8" t="str">
        <x:v>208792</x:v>
      </x:c>
      <x:c r="B195" s="11" t="str">
        <x:v>Dance - Dance Fitness Fusion</x:v>
      </x:c>
      <x:c r="C195" s="11" t="str">
        <x:v>Multnomah Arts Ctr</x:v>
      </x:c>
      <x:c r="D195" s="11" t="str">
        <x:v>Dance</x:v>
      </x:c>
      <x:c r="E195" s="8" t="str">
        <x:v>future</x:v>
      </x:c>
      <x:c r="F195" s="8" t="str">
        <x:v>2026-09-30</x:v>
      </x:c>
      <x:c r="G195" s="8" t="str">
        <x:v>2026-12-09</x:v>
      </x:c>
      <x:c r="H195" s="8" t="n">
        <x:v>6</x:v>
      </x:c>
      <x:c r="I195" s="8"/>
      <x:c r="J195" s="8" t="n">
        <x:v>10</x:v>
      </x:c>
      <x:c r="K195" s="8" t="str">
        <x:v>unverified-denominator</x:v>
      </x:c>
      <x:c r="L195" s="8" t="d">
        <x:v>2026-09-16T05:12:38.111Z</x:v>
      </x:c>
      <x:c r="M195" s="8" t="str">
        <x:v>https://apm.activecommunities.com/portlandparks/Activity_Search/dance---dance-fitness-fusion/208792?locale=en-US</x:v>
      </x:c>
    </x:row>
    <x:row r="196" ht="38" customHeight="1">
      <x:c r="A196" s="7" t="str">
        <x:v>208766</x:v>
      </x:c>
      <x:c r="B196" s="12" t="str">
        <x:v>Dance - Flamenco I for Seniors</x:v>
      </x:c>
      <x:c r="C196" s="12" t="str">
        <x:v>Multnomah Arts Ctr</x:v>
      </x:c>
      <x:c r="D196" s="12" t="str">
        <x:v>Dance</x:v>
      </x:c>
      <x:c r="E196" s="7" t="str">
        <x:v>future</x:v>
      </x:c>
      <x:c r="F196" s="7" t="str">
        <x:v>2026-10-02</x:v>
      </x:c>
      <x:c r="G196" s="7" t="str">
        <x:v>2026-12-11</x:v>
      </x:c>
      <x:c r="H196" s="7" t="n">
        <x:v>7</x:v>
      </x:c>
      <x:c r="I196" s="7"/>
      <x:c r="J196" s="7" t="n">
        <x:v>10</x:v>
      </x:c>
      <x:c r="K196" s="7" t="str">
        <x:v>unverified-denominator</x:v>
      </x:c>
      <x:c r="L196" s="7" t="d">
        <x:v>2026-09-16T05:12:38.111Z</x:v>
      </x:c>
      <x:c r="M196" s="7" t="str">
        <x:v>https://apm.activecommunities.com/portlandparks/Activity_Search/dance---flamenco-i-for-seniors/208766?locale=en-US</x:v>
      </x:c>
    </x:row>
    <x:row r="197" ht="38" customHeight="1">
      <x:c r="A197" s="8" t="str">
        <x:v>208765</x:v>
      </x:c>
      <x:c r="B197" s="11" t="str">
        <x:v>Dance - Flamenco II for Seniors</x:v>
      </x:c>
      <x:c r="C197" s="11" t="str">
        <x:v>Multnomah Arts Ctr</x:v>
      </x:c>
      <x:c r="D197" s="11" t="str">
        <x:v>Dance</x:v>
      </x:c>
      <x:c r="E197" s="8" t="str">
        <x:v>future</x:v>
      </x:c>
      <x:c r="F197" s="8" t="str">
        <x:v>2026-10-02</x:v>
      </x:c>
      <x:c r="G197" s="8" t="str">
        <x:v>2026-12-11</x:v>
      </x:c>
      <x:c r="H197" s="8" t="n">
        <x:v>4</x:v>
      </x:c>
      <x:c r="I197" s="8"/>
      <x:c r="J197" s="8" t="n">
        <x:v>10</x:v>
      </x:c>
      <x:c r="K197" s="8" t="str">
        <x:v>unverified-denominator</x:v>
      </x:c>
      <x:c r="L197" s="8" t="d">
        <x:v>2026-09-16T05:12:38.111Z</x:v>
      </x:c>
      <x:c r="M197" s="8" t="str">
        <x:v>https://apm.activecommunities.com/portlandparks/Activity_Search/dance---flamenco-ii-for-seniors/208765?locale=en-US</x:v>
      </x:c>
    </x:row>
    <x:row r="198" ht="38" customHeight="1">
      <x:c r="A198" s="7" t="str">
        <x:v>208795</x:v>
      </x:c>
      <x:c r="B198" s="12" t="str">
        <x:v>Dance - Greek and Balkan Folk Dances</x:v>
      </x:c>
      <x:c r="C198" s="12" t="str">
        <x:v>Southwest Cmty Ctr</x:v>
      </x:c>
      <x:c r="D198" s="12" t="str">
        <x:v>Dance</x:v>
      </x:c>
      <x:c r="E198" s="7" t="str">
        <x:v>future</x:v>
      </x:c>
      <x:c r="F198" s="7" t="str">
        <x:v>2026-10-10</x:v>
      </x:c>
      <x:c r="G198" s="7" t="str">
        <x:v>2026-10-31</x:v>
      </x:c>
      <x:c r="H198" s="7" t="n">
        <x:v>6</x:v>
      </x:c>
      <x:c r="I198" s="7"/>
      <x:c r="J198" s="7" t="n">
        <x:v>20</x:v>
      </x:c>
      <x:c r="K198" s="7" t="str">
        <x:v>unverified-denominator</x:v>
      </x:c>
      <x:c r="L198" s="7" t="d">
        <x:v>2026-09-16T05:12:38.111Z</x:v>
      </x:c>
      <x:c r="M198" s="7" t="str">
        <x:v>https://apm.activecommunities.com/portlandparks/Activity_Search/dance---greek-and-balkan-folk-dances/208795?locale=en-US</x:v>
      </x:c>
    </x:row>
    <x:row r="199" ht="38" customHeight="1">
      <x:c r="A199" s="8" t="str">
        <x:v>208796</x:v>
      </x:c>
      <x:c r="B199" s="11" t="str">
        <x:v>Dance - Greek and Balkan Folk Dances</x:v>
      </x:c>
      <x:c r="C199" s="11" t="str">
        <x:v>Southwest Cmty Ctr</x:v>
      </x:c>
      <x:c r="D199" s="11" t="str">
        <x:v>Dance</x:v>
      </x:c>
      <x:c r="E199" s="8" t="str">
        <x:v>future</x:v>
      </x:c>
      <x:c r="F199" s="8" t="str">
        <x:v>2026-11-07</x:v>
      </x:c>
      <x:c r="G199" s="8" t="str">
        <x:v>2026-12-12</x:v>
      </x:c>
      <x:c r="H199" s="8" t="n">
        <x:v>0</x:v>
      </x:c>
      <x:c r="I199" s="8"/>
      <x:c r="J199" s="8" t="n">
        <x:v>20</x:v>
      </x:c>
      <x:c r="K199" s="8" t="str">
        <x:v>unverified-denominator</x:v>
      </x:c>
      <x:c r="L199" s="8" t="d">
        <x:v>2026-09-16T05:12:38.111Z</x:v>
      </x:c>
      <x:c r="M199" s="8" t="str">
        <x:v>https://apm.activecommunities.com/portlandparks/Activity_Search/dance---greek-and-balkan-folk-dances/208796?locale=en-US</x:v>
      </x:c>
    </x:row>
    <x:row r="200" ht="38" customHeight="1">
      <x:c r="A200" s="7" t="str">
        <x:v>208675</x:v>
      </x:c>
      <x:c r="B200" s="12" t="str">
        <x:v>Dance - Hip Hop</x:v>
      </x:c>
      <x:c r="C200" s="12" t="str">
        <x:v>Mt Scott Cmty Ctr</x:v>
      </x:c>
      <x:c r="D200" s="12" t="str">
        <x:v>Dance</x:v>
      </x:c>
      <x:c r="E200" s="7" t="str">
        <x:v>future</x:v>
      </x:c>
      <x:c r="F200" s="7" t="str">
        <x:v>2026-11-02</x:v>
      </x:c>
      <x:c r="G200" s="7" t="str">
        <x:v>2026-12-07</x:v>
      </x:c>
      <x:c r="H200" s="7" t="n">
        <x:v>0</x:v>
      </x:c>
      <x:c r="I200" s="7"/>
      <x:c r="J200" s="7" t="n">
        <x:v>16</x:v>
      </x:c>
      <x:c r="K200" s="7" t="str">
        <x:v>unverified-denominator</x:v>
      </x:c>
      <x:c r="L200" s="7" t="d">
        <x:v>2026-09-16T05:12:38.111Z</x:v>
      </x:c>
      <x:c r="M200" s="7" t="str">
        <x:v>https://apm.activecommunities.com/portlandparks/Activity_Search/dance---hip-hop/208675?locale=en-US</x:v>
      </x:c>
    </x:row>
    <x:row r="201" ht="38" customHeight="1">
      <x:c r="A201" s="8" t="str">
        <x:v>208676</x:v>
      </x:c>
      <x:c r="B201" s="11" t="str">
        <x:v>Dance - Hip Hop</x:v>
      </x:c>
      <x:c r="C201" s="11" t="str">
        <x:v>Mt Scott Cmty Ctr</x:v>
      </x:c>
      <x:c r="D201" s="11" t="str">
        <x:v>Dance</x:v>
      </x:c>
      <x:c r="E201" s="8" t="str">
        <x:v>future</x:v>
      </x:c>
      <x:c r="F201" s="8" t="str">
        <x:v>2026-11-04</x:v>
      </x:c>
      <x:c r="G201" s="8" t="str">
        <x:v>2026-12-09</x:v>
      </x:c>
      <x:c r="H201" s="8" t="n">
        <x:v>0</x:v>
      </x:c>
      <x:c r="I201" s="8"/>
      <x:c r="J201" s="8" t="n">
        <x:v>16</x:v>
      </x:c>
      <x:c r="K201" s="8" t="str">
        <x:v>unverified-denominator</x:v>
      </x:c>
      <x:c r="L201" s="8" t="d">
        <x:v>2026-09-16T05:12:38.111Z</x:v>
      </x:c>
      <x:c r="M201" s="8" t="str">
        <x:v>https://apm.activecommunities.com/portlandparks/Activity_Search/dance---hip-hop/208676?locale=en-US</x:v>
      </x:c>
    </x:row>
    <x:row r="202" ht="38" customHeight="1">
      <x:c r="A202" s="7" t="str">
        <x:v>207292</x:v>
      </x:c>
      <x:c r="B202" s="12" t="str">
        <x:v>Dance - Hip Hop for Adults</x:v>
      </x:c>
      <x:c r="C202" s="12" t="str">
        <x:v>Multnomah Arts Ctr</x:v>
      </x:c>
      <x:c r="D202" s="12" t="str">
        <x:v>Dance</x:v>
      </x:c>
      <x:c r="E202" s="7" t="str">
        <x:v>future</x:v>
      </x:c>
      <x:c r="F202" s="7" t="str">
        <x:v>2026-09-30</x:v>
      </x:c>
      <x:c r="G202" s="7" t="str">
        <x:v>2026-12-02</x:v>
      </x:c>
      <x:c r="H202" s="7" t="n">
        <x:v>13</x:v>
      </x:c>
      <x:c r="I202" s="7"/>
      <x:c r="J202" s="7" t="n">
        <x:v>25</x:v>
      </x:c>
      <x:c r="K202" s="7" t="str">
        <x:v>unverified-denominator</x:v>
      </x:c>
      <x:c r="L202" s="7" t="d">
        <x:v>2026-09-16T05:12:38.111Z</x:v>
      </x:c>
      <x:c r="M202" s="7" t="str">
        <x:v>https://apm.activecommunities.com/portlandparks/Activity_Search/dance---hip-hop-for-adults/207292?locale=en-US</x:v>
      </x:c>
    </x:row>
    <x:row r="203" ht="38" customHeight="1">
      <x:c r="A203" s="8" t="str">
        <x:v>207291</x:v>
      </x:c>
      <x:c r="B203" s="11" t="str">
        <x:v>Dance - Hip Hop for Youth</x:v>
      </x:c>
      <x:c r="C203" s="11" t="str">
        <x:v>Multnomah Arts Ctr</x:v>
      </x:c>
      <x:c r="D203" s="11" t="str">
        <x:v>Dance</x:v>
      </x:c>
      <x:c r="E203" s="8" t="str">
        <x:v>future</x:v>
      </x:c>
      <x:c r="F203" s="8" t="str">
        <x:v>2026-09-30</x:v>
      </x:c>
      <x:c r="G203" s="8" t="str">
        <x:v>2026-12-09</x:v>
      </x:c>
      <x:c r="H203" s="8" t="n">
        <x:v>15</x:v>
      </x:c>
      <x:c r="I203" s="8" t="n">
        <x:v>1</x:v>
      </x:c>
      <x:c r="J203" s="8" t="n">
        <x:v>15</x:v>
      </x:c>
      <x:c r="K203" s="8" t="str">
        <x:v>unverified-denominator</x:v>
      </x:c>
      <x:c r="L203" s="8" t="d">
        <x:v>2026-09-16T05:12:38.111Z</x:v>
      </x:c>
      <x:c r="M203" s="8" t="str">
        <x:v>https://apm.activecommunities.com/portlandparks/Activity_Search/dance---hip-hop-for-youth/207291?locale=en-US</x:v>
      </x:c>
    </x:row>
    <x:row r="204" ht="38" customHeight="1">
      <x:c r="A204" s="7" t="str">
        <x:v>207293</x:v>
      </x:c>
      <x:c r="B204" s="12" t="str">
        <x:v>Dance - MAC Dance Team</x:v>
      </x:c>
      <x:c r="C204" s="12" t="str">
        <x:v>Multnomah Arts Ctr</x:v>
      </x:c>
      <x:c r="D204" s="12" t="str">
        <x:v>Dance</x:v>
      </x:c>
      <x:c r="E204" s="7" t="str">
        <x:v>future</x:v>
      </x:c>
      <x:c r="F204" s="7" t="str">
        <x:v>2026-09-30</x:v>
      </x:c>
      <x:c r="G204" s="7" t="str">
        <x:v>2026-12-02</x:v>
      </x:c>
      <x:c r="H204" s="7" t="n">
        <x:v>5</x:v>
      </x:c>
      <x:c r="I204" s="7"/>
      <x:c r="J204" s="7" t="n">
        <x:v>20</x:v>
      </x:c>
      <x:c r="K204" s="7" t="str">
        <x:v>unverified-denominator</x:v>
      </x:c>
      <x:c r="L204" s="7" t="d">
        <x:v>2026-09-16T05:12:38.111Z</x:v>
      </x:c>
      <x:c r="M204" s="7" t="str">
        <x:v>https://apm.activecommunities.com/portlandparks/Activity_Search/dance---mac-dance-team/207293?locale=en-US</x:v>
      </x:c>
    </x:row>
    <x:row r="205" ht="38" customHeight="1">
      <x:c r="A205" s="8" t="str">
        <x:v>208721</x:v>
      </x:c>
      <x:c r="B205" s="11" t="str">
        <x:v>Dance - Movement and Me</x:v>
      </x:c>
      <x:c r="C205" s="11" t="str">
        <x:v>Multnomah Arts Ctr</x:v>
      </x:c>
      <x:c r="D205" s="11" t="str">
        <x:v>Dance</x:v>
      </x:c>
      <x:c r="E205" s="8" t="str">
        <x:v>future</x:v>
      </x:c>
      <x:c r="F205" s="8" t="str">
        <x:v>2026-10-03</x:v>
      </x:c>
      <x:c r="G205" s="8" t="str">
        <x:v>2026-12-12</x:v>
      </x:c>
      <x:c r="H205" s="8" t="n">
        <x:v>12</x:v>
      </x:c>
      <x:c r="I205" s="8" t="n">
        <x:v>14</x:v>
      </x:c>
      <x:c r="J205" s="8" t="n">
        <x:v>12</x:v>
      </x:c>
      <x:c r="K205" s="8" t="str">
        <x:v>unverified-denominator</x:v>
      </x:c>
      <x:c r="L205" s="8" t="d">
        <x:v>2026-09-16T05:12:38.111Z</x:v>
      </x:c>
      <x:c r="M205" s="8" t="str">
        <x:v>https://apm.activecommunities.com/portlandparks/Activity_Search/dance---movement-and-me/208721?locale=en-US</x:v>
      </x:c>
    </x:row>
    <x:row r="206" ht="38" customHeight="1">
      <x:c r="A206" s="7" t="str">
        <x:v>208715</x:v>
      </x:c>
      <x:c r="B206" s="12" t="str">
        <x:v>Dance - Movement Explorations</x:v>
      </x:c>
      <x:c r="C206" s="12" t="str">
        <x:v>Multnomah Arts Ctr</x:v>
      </x:c>
      <x:c r="D206" s="12" t="str">
        <x:v>Dance</x:v>
      </x:c>
      <x:c r="E206" s="7" t="str">
        <x:v>future</x:v>
      </x:c>
      <x:c r="F206" s="7" t="str">
        <x:v>2026-09-28</x:v>
      </x:c>
      <x:c r="G206" s="7" t="str">
        <x:v>2026-12-07</x:v>
      </x:c>
      <x:c r="H206" s="7" t="n">
        <x:v>12</x:v>
      </x:c>
      <x:c r="I206" s="7"/>
      <x:c r="J206" s="7" t="n">
        <x:v>12</x:v>
      </x:c>
      <x:c r="K206" s="7" t="str">
        <x:v>unverified-denominator</x:v>
      </x:c>
      <x:c r="L206" s="7" t="d">
        <x:v>2026-09-16T05:12:38.111Z</x:v>
      </x:c>
      <x:c r="M206" s="7" t="str">
        <x:v>https://apm.activecommunities.com/portlandparks/Activity_Search/dance---movement-explorations/208715?locale=en-US</x:v>
      </x:c>
    </x:row>
    <x:row r="207" ht="38" customHeight="1">
      <x:c r="A207" s="8" t="str">
        <x:v>208722</x:v>
      </x:c>
      <x:c r="B207" s="11" t="str">
        <x:v>Dance - Pre Ballet I</x:v>
      </x:c>
      <x:c r="C207" s="11" t="str">
        <x:v>Multnomah Arts Ctr</x:v>
      </x:c>
      <x:c r="D207" s="11" t="str">
        <x:v>Dance</x:v>
      </x:c>
      <x:c r="E207" s="8" t="str">
        <x:v>future</x:v>
      </x:c>
      <x:c r="F207" s="8" t="str">
        <x:v>2026-10-03</x:v>
      </x:c>
      <x:c r="G207" s="8" t="str">
        <x:v>2026-12-12</x:v>
      </x:c>
      <x:c r="H207" s="8" t="n">
        <x:v>12</x:v>
      </x:c>
      <x:c r="I207" s="8" t="n">
        <x:v>5</x:v>
      </x:c>
      <x:c r="J207" s="8" t="n">
        <x:v>12</x:v>
      </x:c>
      <x:c r="K207" s="8" t="str">
        <x:v>unverified-denominator</x:v>
      </x:c>
      <x:c r="L207" s="8" t="d">
        <x:v>2026-09-16T05:12:38.111Z</x:v>
      </x:c>
      <x:c r="M207" s="8" t="str">
        <x:v>https://apm.activecommunities.com/portlandparks/Activity_Search/dance---pre-ballet-i/208722?locale=en-US</x:v>
      </x:c>
    </x:row>
    <x:row r="208" ht="38" customHeight="1">
      <x:c r="A208" s="7" t="str">
        <x:v>208723</x:v>
      </x:c>
      <x:c r="B208" s="12" t="str">
        <x:v>Dance - Pre Ballet I</x:v>
      </x:c>
      <x:c r="C208" s="12" t="str">
        <x:v>Multnomah Arts Ctr</x:v>
      </x:c>
      <x:c r="D208" s="12" t="str">
        <x:v>Dance</x:v>
      </x:c>
      <x:c r="E208" s="7" t="str">
        <x:v>future</x:v>
      </x:c>
      <x:c r="F208" s="7" t="str">
        <x:v>2026-10-03</x:v>
      </x:c>
      <x:c r="G208" s="7" t="str">
        <x:v>2026-12-12</x:v>
      </x:c>
      <x:c r="H208" s="7" t="n">
        <x:v>12</x:v>
      </x:c>
      <x:c r="I208" s="7" t="n">
        <x:v>2</x:v>
      </x:c>
      <x:c r="J208" s="7" t="n">
        <x:v>12</x:v>
      </x:c>
      <x:c r="K208" s="7" t="str">
        <x:v>unverified-denominator</x:v>
      </x:c>
      <x:c r="L208" s="7" t="d">
        <x:v>2026-09-16T05:12:38.111Z</x:v>
      </x:c>
      <x:c r="M208" s="7" t="str">
        <x:v>https://apm.activecommunities.com/portlandparks/Activity_Search/dance---pre-ballet-i/208723?locale=en-US</x:v>
      </x:c>
    </x:row>
    <x:row r="209" ht="38" customHeight="1">
      <x:c r="A209" s="8" t="str">
        <x:v>208790</x:v>
      </x:c>
      <x:c r="B209" s="11" t="str">
        <x:v>Dance - Pre Ballet I</x:v>
      </x:c>
      <x:c r="C209" s="11" t="str">
        <x:v>Multnomah Arts Ctr</x:v>
      </x:c>
      <x:c r="D209" s="11" t="str">
        <x:v>Dance</x:v>
      </x:c>
      <x:c r="E209" s="8" t="str">
        <x:v>future</x:v>
      </x:c>
      <x:c r="F209" s="8" t="str">
        <x:v>2026-09-28</x:v>
      </x:c>
      <x:c r="G209" s="8" t="str">
        <x:v>2026-12-07</x:v>
      </x:c>
      <x:c r="H209" s="8" t="n">
        <x:v>12</x:v>
      </x:c>
      <x:c r="I209" s="8" t="n">
        <x:v>1</x:v>
      </x:c>
      <x:c r="J209" s="8" t="n">
        <x:v>12</x:v>
      </x:c>
      <x:c r="K209" s="8" t="str">
        <x:v>unverified-denominator</x:v>
      </x:c>
      <x:c r="L209" s="8" t="d">
        <x:v>2026-09-16T05:12:38.111Z</x:v>
      </x:c>
      <x:c r="M209" s="8" t="str">
        <x:v>https://apm.activecommunities.com/portlandparks/Activity_Search/dance---pre-ballet-i/208790?locale=en-US</x:v>
      </x:c>
    </x:row>
    <x:row r="210" ht="38" customHeight="1">
      <x:c r="A210" s="7" t="str">
        <x:v>208793</x:v>
      </x:c>
      <x:c r="B210" s="12" t="str">
        <x:v>Dance - Pre Ballet I</x:v>
      </x:c>
      <x:c r="C210" s="12" t="str">
        <x:v>Multnomah Arts Ctr</x:v>
      </x:c>
      <x:c r="D210" s="12" t="str">
        <x:v>Dance</x:v>
      </x:c>
      <x:c r="E210" s="7" t="str">
        <x:v>future</x:v>
      </x:c>
      <x:c r="F210" s="7" t="str">
        <x:v>2026-09-29</x:v>
      </x:c>
      <x:c r="G210" s="7" t="str">
        <x:v>2026-12-01</x:v>
      </x:c>
      <x:c r="H210" s="7" t="n">
        <x:v>11</x:v>
      </x:c>
      <x:c r="I210" s="7"/>
      <x:c r="J210" s="7" t="n">
        <x:v>12</x:v>
      </x:c>
      <x:c r="K210" s="7" t="str">
        <x:v>unverified-denominator</x:v>
      </x:c>
      <x:c r="L210" s="7" t="d">
        <x:v>2026-09-16T05:12:38.111Z</x:v>
      </x:c>
      <x:c r="M210" s="7" t="str">
        <x:v>https://apm.activecommunities.com/portlandparks/Activity_Search/dance---pre-ballet-i/208793?locale=en-US</x:v>
      </x:c>
    </x:row>
    <x:row r="211" ht="38" customHeight="1">
      <x:c r="A211" s="8" t="str">
        <x:v>208433</x:v>
      </x:c>
      <x:c r="B211" s="11" t="str">
        <x:v>Dance - Rhythm &amp; Moves for Balance</x:v>
      </x:c>
      <x:c r="C211" s="11" t="str">
        <x:v>St Johns Cmty Ctr</x:v>
      </x:c>
      <x:c r="D211" s="11" t="str">
        <x:v>Dance</x:v>
      </x:c>
      <x:c r="E211" s="8" t="str">
        <x:v>future</x:v>
      </x:c>
      <x:c r="F211" s="8" t="str">
        <x:v>2026-09-29</x:v>
      </x:c>
      <x:c r="G211" s="8" t="str">
        <x:v>2026-12-01</x:v>
      </x:c>
      <x:c r="H211" s="8" t="n">
        <x:v>1</x:v>
      </x:c>
      <x:c r="I211" s="8"/>
      <x:c r="J211" s="8" t="n">
        <x:v>15</x:v>
      </x:c>
      <x:c r="K211" s="8" t="str">
        <x:v>unverified-denominator</x:v>
      </x:c>
      <x:c r="L211" s="8" t="d">
        <x:v>2026-09-16T05:12:38.111Z</x:v>
      </x:c>
      <x:c r="M211" s="8" t="str">
        <x:v>https://apm.activecommunities.com/portlandparks/Activity_Search/dance---rhythm-moves-for-balance/208433?locale=en-US</x:v>
      </x:c>
    </x:row>
    <x:row r="212" ht="38" customHeight="1">
      <x:c r="A212" s="7" t="str">
        <x:v>208672</x:v>
      </x:c>
      <x:c r="B212" s="12" t="str">
        <x:v>Dance - Salsa</x:v>
      </x:c>
      <x:c r="C212" s="12" t="str">
        <x:v>Mt Scott Cmty Ctr</x:v>
      </x:c>
      <x:c r="D212" s="12" t="str">
        <x:v>Dance</x:v>
      </x:c>
      <x:c r="E212" s="7" t="str">
        <x:v>future</x:v>
      </x:c>
      <x:c r="F212" s="7" t="str">
        <x:v>2026-11-04</x:v>
      </x:c>
      <x:c r="G212" s="7" t="str">
        <x:v>2026-12-09</x:v>
      </x:c>
      <x:c r="H212" s="7" t="n">
        <x:v>0</x:v>
      </x:c>
      <x:c r="I212" s="7"/>
      <x:c r="J212" s="7" t="n">
        <x:v>24</x:v>
      </x:c>
      <x:c r="K212" s="7" t="str">
        <x:v>unverified-denominator</x:v>
      </x:c>
      <x:c r="L212" s="7" t="d">
        <x:v>2026-09-16T05:12:38.111Z</x:v>
      </x:c>
      <x:c r="M212" s="7" t="str">
        <x:v>https://apm.activecommunities.com/portlandparks/Activity_Search/dance---salsa/208672?locale=en-US</x:v>
      </x:c>
    </x:row>
    <x:row r="213" ht="38" customHeight="1">
      <x:c r="A213" s="8" t="str">
        <x:v>208673</x:v>
      </x:c>
      <x:c r="B213" s="11" t="str">
        <x:v>Dance - Salsa</x:v>
      </x:c>
      <x:c r="C213" s="11" t="str">
        <x:v>Mt Scott Cmty Ctr</x:v>
      </x:c>
      <x:c r="D213" s="11" t="str">
        <x:v>Dance</x:v>
      </x:c>
      <x:c r="E213" s="8" t="str">
        <x:v>future</x:v>
      </x:c>
      <x:c r="F213" s="8" t="str">
        <x:v>2026-11-07</x:v>
      </x:c>
      <x:c r="G213" s="8" t="str">
        <x:v>2026-12-12</x:v>
      </x:c>
      <x:c r="H213" s="8" t="n">
        <x:v>0</x:v>
      </x:c>
      <x:c r="I213" s="8"/>
      <x:c r="J213" s="8" t="n">
        <x:v>24</x:v>
      </x:c>
      <x:c r="K213" s="8" t="str">
        <x:v>unverified-denominator</x:v>
      </x:c>
      <x:c r="L213" s="8" t="d">
        <x:v>2026-09-16T05:12:38.111Z</x:v>
      </x:c>
      <x:c r="M213" s="8" t="str">
        <x:v>https://apm.activecommunities.com/portlandparks/Activity_Search/dance---salsa/208673?locale=en-US</x:v>
      </x:c>
    </x:row>
    <x:row r="214" ht="38" customHeight="1">
      <x:c r="A214" s="7" t="str">
        <x:v>208669</x:v>
      </x:c>
      <x:c r="B214" s="12" t="str">
        <x:v>Dance - Salsa</x:v>
      </x:c>
      <x:c r="C214" s="12" t="str">
        <x:v>Mt Scott Cmty Ctr</x:v>
      </x:c>
      <x:c r="D214" s="12" t="str">
        <x:v>Dance</x:v>
      </x:c>
      <x:c r="E214" s="7" t="str">
        <x:v>future</x:v>
      </x:c>
      <x:c r="F214" s="7" t="str">
        <x:v>2026-10-14</x:v>
      </x:c>
      <x:c r="G214" s="7" t="str">
        <x:v>2026-10-28</x:v>
      </x:c>
      <x:c r="H214" s="7" t="n">
        <x:v>1</x:v>
      </x:c>
      <x:c r="I214" s="7"/>
      <x:c r="J214" s="7" t="n">
        <x:v>24</x:v>
      </x:c>
      <x:c r="K214" s="7" t="str">
        <x:v>unverified-denominator</x:v>
      </x:c>
      <x:c r="L214" s="7" t="d">
        <x:v>2026-09-16T05:12:38.111Z</x:v>
      </x:c>
      <x:c r="M214" s="7" t="str">
        <x:v>https://apm.activecommunities.com/portlandparks/Activity_Search/dance---salsa/208669?locale=en-US</x:v>
      </x:c>
    </x:row>
    <x:row r="215" ht="38" customHeight="1">
      <x:c r="A215" s="8" t="str">
        <x:v>208670</x:v>
      </x:c>
      <x:c r="B215" s="11" t="str">
        <x:v>Dance - Salsa</x:v>
      </x:c>
      <x:c r="C215" s="11" t="str">
        <x:v>Mt Scott Cmty Ctr</x:v>
      </x:c>
      <x:c r="D215" s="11" t="str">
        <x:v>Dance</x:v>
      </x:c>
      <x:c r="E215" s="8" t="str">
        <x:v>future</x:v>
      </x:c>
      <x:c r="F215" s="8" t="str">
        <x:v>2026-10-10</x:v>
      </x:c>
      <x:c r="G215" s="8" t="str">
        <x:v>2026-10-31</x:v>
      </x:c>
      <x:c r="H215" s="8" t="n">
        <x:v>3</x:v>
      </x:c>
      <x:c r="I215" s="8"/>
      <x:c r="J215" s="8" t="n">
        <x:v>24</x:v>
      </x:c>
      <x:c r="K215" s="8" t="str">
        <x:v>unverified-denominator</x:v>
      </x:c>
      <x:c r="L215" s="8" t="d">
        <x:v>2026-09-16T05:12:38.111Z</x:v>
      </x:c>
      <x:c r="M215" s="8" t="str">
        <x:v>https://apm.activecommunities.com/portlandparks/Activity_Search/dance---salsa/208670?locale=en-US</x:v>
      </x:c>
    </x:row>
    <x:row r="216" ht="38" customHeight="1">
      <x:c r="A216" s="7" t="str">
        <x:v>208566</x:v>
      </x:c>
      <x:c r="B216" s="12" t="str">
        <x:v>Dance - Salsa</x:v>
      </x:c>
      <x:c r="C216" s="12" t="str">
        <x:v>Mt Scott Cmty Ctr</x:v>
      </x:c>
      <x:c r="D216" s="12" t="str">
        <x:v>Dance</x:v>
      </x:c>
      <x:c r="E216" s="7" t="str">
        <x:v>active</x:v>
      </x:c>
      <x:c r="F216" s="7" t="str">
        <x:v>2026-09-02</x:v>
      </x:c>
      <x:c r="G216" s="7" t="str">
        <x:v>2026-09-23</x:v>
      </x:c>
      <x:c r="H216" s="7" t="n">
        <x:v>15</x:v>
      </x:c>
      <x:c r="I216" s="7"/>
      <x:c r="J216" s="7" t="n">
        <x:v>24</x:v>
      </x:c>
      <x:c r="K216" s="7" t="str">
        <x:v>unverified-denominator</x:v>
      </x:c>
      <x:c r="L216" s="7" t="d">
        <x:v>2026-09-16T05:12:38.111Z</x:v>
      </x:c>
      <x:c r="M216" s="7" t="str">
        <x:v>https://apm.activecommunities.com/portlandparks/Activity_Search/dance---salsa/208566?locale=en-US</x:v>
      </x:c>
    </x:row>
    <x:row r="217" ht="38" customHeight="1">
      <x:c r="A217" s="8" t="str">
        <x:v>208567</x:v>
      </x:c>
      <x:c r="B217" s="11" t="str">
        <x:v>Dance - Salsa</x:v>
      </x:c>
      <x:c r="C217" s="11" t="str">
        <x:v>Mt Scott Cmty Ctr</x:v>
      </x:c>
      <x:c r="D217" s="11" t="str">
        <x:v>Dance</x:v>
      </x:c>
      <x:c r="E217" s="8" t="str">
        <x:v>active</x:v>
      </x:c>
      <x:c r="F217" s="8" t="str">
        <x:v>2026-09-05</x:v>
      </x:c>
      <x:c r="G217" s="8" t="str">
        <x:v>2026-09-26</x:v>
      </x:c>
      <x:c r="H217" s="8" t="n">
        <x:v>14</x:v>
      </x:c>
      <x:c r="I217" s="8"/>
      <x:c r="J217" s="8" t="n">
        <x:v>24</x:v>
      </x:c>
      <x:c r="K217" s="8" t="str">
        <x:v>unverified-denominator</x:v>
      </x:c>
      <x:c r="L217" s="8" t="d">
        <x:v>2026-09-16T05:12:38.111Z</x:v>
      </x:c>
      <x:c r="M217" s="8" t="str">
        <x:v>https://apm.activecommunities.com/portlandparks/Activity_Search/dance---salsa/208567?locale=en-US</x:v>
      </x:c>
    </x:row>
    <x:row r="218" ht="38" customHeight="1">
      <x:c r="A218" s="7" t="str">
        <x:v>208568</x:v>
      </x:c>
      <x:c r="B218" s="12" t="str">
        <x:v>Dance - Salsa: Level 2</x:v>
      </x:c>
      <x:c r="C218" s="12" t="str">
        <x:v>Mt Scott Cmty Ctr</x:v>
      </x:c>
      <x:c r="D218" s="12" t="str">
        <x:v>Dance</x:v>
      </x:c>
      <x:c r="E218" s="7" t="str">
        <x:v>active</x:v>
      </x:c>
      <x:c r="F218" s="7" t="str">
        <x:v>2026-09-05</x:v>
      </x:c>
      <x:c r="G218" s="7" t="str">
        <x:v>2026-09-26</x:v>
      </x:c>
      <x:c r="H218" s="7" t="n">
        <x:v>5</x:v>
      </x:c>
      <x:c r="I218" s="7"/>
      <x:c r="J218" s="7" t="n">
        <x:v>24</x:v>
      </x:c>
      <x:c r="K218" s="7" t="str">
        <x:v>unverified-denominator</x:v>
      </x:c>
      <x:c r="L218" s="7" t="d">
        <x:v>2026-09-16T05:12:38.111Z</x:v>
      </x:c>
      <x:c r="M218" s="7" t="str">
        <x:v>https://apm.activecommunities.com/portlandparks/Activity_Search/dance---salsa-level-2/208568?locale=en-US</x:v>
      </x:c>
    </x:row>
    <x:row r="219" ht="38" customHeight="1">
      <x:c r="A219" s="8" t="str">
        <x:v>208671</x:v>
      </x:c>
      <x:c r="B219" s="11" t="str">
        <x:v>Dance - Salsa: Level 2</x:v>
      </x:c>
      <x:c r="C219" s="11" t="str">
        <x:v>Mt Scott Cmty Ctr</x:v>
      </x:c>
      <x:c r="D219" s="11" t="str">
        <x:v>Dance</x:v>
      </x:c>
      <x:c r="E219" s="8" t="str">
        <x:v>future</x:v>
      </x:c>
      <x:c r="F219" s="8" t="str">
        <x:v>2026-10-10</x:v>
      </x:c>
      <x:c r="G219" s="8" t="str">
        <x:v>2026-10-31</x:v>
      </x:c>
      <x:c r="H219" s="8" t="n">
        <x:v>0</x:v>
      </x:c>
      <x:c r="I219" s="8"/>
      <x:c r="J219" s="8" t="n">
        <x:v>24</x:v>
      </x:c>
      <x:c r="K219" s="8" t="str">
        <x:v>unverified-denominator</x:v>
      </x:c>
      <x:c r="L219" s="8" t="d">
        <x:v>2026-09-16T05:12:38.111Z</x:v>
      </x:c>
      <x:c r="M219" s="8" t="str">
        <x:v>https://apm.activecommunities.com/portlandparks/Activity_Search/dance---salsa-level-2/208671?locale=en-US</x:v>
      </x:c>
    </x:row>
    <x:row r="220" ht="38" customHeight="1">
      <x:c r="A220" s="7" t="str">
        <x:v>208674</x:v>
      </x:c>
      <x:c r="B220" s="12" t="str">
        <x:v>Dance - Salsa: Level 2</x:v>
      </x:c>
      <x:c r="C220" s="12" t="str">
        <x:v>Mt Scott Cmty Ctr</x:v>
      </x:c>
      <x:c r="D220" s="12" t="str">
        <x:v>Dance</x:v>
      </x:c>
      <x:c r="E220" s="7" t="str">
        <x:v>future</x:v>
      </x:c>
      <x:c r="F220" s="7" t="str">
        <x:v>2026-11-07</x:v>
      </x:c>
      <x:c r="G220" s="7" t="str">
        <x:v>2026-12-12</x:v>
      </x:c>
      <x:c r="H220" s="7" t="n">
        <x:v>0</x:v>
      </x:c>
      <x:c r="I220" s="7"/>
      <x:c r="J220" s="7" t="n">
        <x:v>24</x:v>
      </x:c>
      <x:c r="K220" s="7" t="str">
        <x:v>unverified-denominator</x:v>
      </x:c>
      <x:c r="L220" s="7" t="d">
        <x:v>2026-09-16T05:12:38.111Z</x:v>
      </x:c>
      <x:c r="M220" s="7" t="str">
        <x:v>https://apm.activecommunities.com/portlandparks/Activity_Search/dance---salsa-level-2/208674?locale=en-US</x:v>
      </x:c>
    </x:row>
    <x:row r="221" ht="38" customHeight="1">
      <x:c r="A221" s="8" t="str">
        <x:v>208741</x:v>
      </x:c>
      <x:c r="B221" s="11" t="str">
        <x:v>Dance - Tap for Absolute Beginners</x:v>
      </x:c>
      <x:c r="C221" s="11" t="str">
        <x:v>Multnomah Arts Ctr</x:v>
      </x:c>
      <x:c r="D221" s="11" t="str">
        <x:v>Dance</x:v>
      </x:c>
      <x:c r="E221" s="8" t="str">
        <x:v>future</x:v>
      </x:c>
      <x:c r="F221" s="8" t="str">
        <x:v>2026-09-30</x:v>
      </x:c>
      <x:c r="G221" s="8" t="str">
        <x:v>2026-12-09</x:v>
      </x:c>
      <x:c r="H221" s="8" t="n">
        <x:v>9</x:v>
      </x:c>
      <x:c r="I221" s="8"/>
      <x:c r="J221" s="8" t="n">
        <x:v>12</x:v>
      </x:c>
      <x:c r="K221" s="8" t="str">
        <x:v>unverified-denominator</x:v>
      </x:c>
      <x:c r="L221" s="8" t="d">
        <x:v>2026-09-16T05:12:38.111Z</x:v>
      </x:c>
      <x:c r="M221" s="8" t="str">
        <x:v>https://apm.activecommunities.com/portlandparks/Activity_Search/dance---tap-for-absolute-beginners/208741?locale=en-US</x:v>
      </x:c>
    </x:row>
    <x:row r="222" ht="38" customHeight="1">
      <x:c r="A222" s="7" t="str">
        <x:v>208743</x:v>
      </x:c>
      <x:c r="B222" s="12" t="str">
        <x:v>Dance - Tap I</x:v>
      </x:c>
      <x:c r="C222" s="12" t="str">
        <x:v>Multnomah Arts Ctr</x:v>
      </x:c>
      <x:c r="D222" s="12" t="str">
        <x:v>Dance</x:v>
      </x:c>
      <x:c r="E222" s="7" t="str">
        <x:v>future</x:v>
      </x:c>
      <x:c r="F222" s="7" t="str">
        <x:v>2026-10-01</x:v>
      </x:c>
      <x:c r="G222" s="7" t="str">
        <x:v>2026-12-10</x:v>
      </x:c>
      <x:c r="H222" s="7" t="n">
        <x:v>12</x:v>
      </x:c>
      <x:c r="I222" s="7" t="n">
        <x:v>1</x:v>
      </x:c>
      <x:c r="J222" s="7" t="n">
        <x:v>12</x:v>
      </x:c>
      <x:c r="K222" s="7" t="str">
        <x:v>unverified-denominator</x:v>
      </x:c>
      <x:c r="L222" s="7" t="d">
        <x:v>2026-09-16T05:12:38.111Z</x:v>
      </x:c>
      <x:c r="M222" s="7" t="str">
        <x:v>https://apm.activecommunities.com/portlandparks/Activity_Search/dance---tap-i/208743?locale=en-US</x:v>
      </x:c>
    </x:row>
    <x:row r="223" ht="38" customHeight="1">
      <x:c r="A223" s="8" t="str">
        <x:v>208745</x:v>
      </x:c>
      <x:c r="B223" s="11" t="str">
        <x:v>Dance - Tap I</x:v>
      </x:c>
      <x:c r="C223" s="11" t="str">
        <x:v>Multnomah Arts Ctr</x:v>
      </x:c>
      <x:c r="D223" s="11" t="str">
        <x:v>Dance</x:v>
      </x:c>
      <x:c r="E223" s="8" t="str">
        <x:v>future</x:v>
      </x:c>
      <x:c r="F223" s="8" t="str">
        <x:v>2026-10-01</x:v>
      </x:c>
      <x:c r="G223" s="8" t="str">
        <x:v>2026-12-10</x:v>
      </x:c>
      <x:c r="H223" s="8" t="n">
        <x:v>11</x:v>
      </x:c>
      <x:c r="I223" s="8"/>
      <x:c r="J223" s="8" t="n">
        <x:v>12</x:v>
      </x:c>
      <x:c r="K223" s="8" t="str">
        <x:v>unverified-denominator</x:v>
      </x:c>
      <x:c r="L223" s="8" t="d">
        <x:v>2026-09-16T05:12:38.111Z</x:v>
      </x:c>
      <x:c r="M223" s="8" t="str">
        <x:v>https://apm.activecommunities.com/portlandparks/Activity_Search/dance---tap-i/208745?locale=en-US</x:v>
      </x:c>
    </x:row>
    <x:row r="224" ht="38" customHeight="1">
      <x:c r="A224" s="7" t="str">
        <x:v>208771</x:v>
      </x:c>
      <x:c r="B224" s="12" t="str">
        <x:v>Dance - Tap I for Kids</x:v>
      </x:c>
      <x:c r="C224" s="12" t="str">
        <x:v>Multnomah Arts Ctr</x:v>
      </x:c>
      <x:c r="D224" s="12" t="str">
        <x:v>Dance</x:v>
      </x:c>
      <x:c r="E224" s="7" t="str">
        <x:v>future</x:v>
      </x:c>
      <x:c r="F224" s="7" t="str">
        <x:v>2026-10-29</x:v>
      </x:c>
      <x:c r="G224" s="7" t="str">
        <x:v>2026-12-10</x:v>
      </x:c>
      <x:c r="H224" s="7" t="n">
        <x:v>10</x:v>
      </x:c>
      <x:c r="I224" s="7"/>
      <x:c r="J224" s="7" t="n">
        <x:v>10</x:v>
      </x:c>
      <x:c r="K224" s="7" t="str">
        <x:v>unverified-denominator</x:v>
      </x:c>
      <x:c r="L224" s="7" t="d">
        <x:v>2026-09-16T05:12:38.111Z</x:v>
      </x:c>
      <x:c r="M224" s="7" t="str">
        <x:v>https://apm.activecommunities.com/portlandparks/Activity_Search/dance---tap-i-for-kids/208771?locale=en-US</x:v>
      </x:c>
    </x:row>
    <x:row r="225" ht="38" customHeight="1">
      <x:c r="A225" s="8" t="str">
        <x:v>208739</x:v>
      </x:c>
      <x:c r="B225" s="11" t="str">
        <x:v>Dance - Tap I for Seniors</x:v>
      </x:c>
      <x:c r="C225" s="11" t="str">
        <x:v>Multnomah Arts Ctr</x:v>
      </x:c>
      <x:c r="D225" s="11" t="str">
        <x:v>Dance</x:v>
      </x:c>
      <x:c r="E225" s="8" t="str">
        <x:v>future</x:v>
      </x:c>
      <x:c r="F225" s="8" t="str">
        <x:v>2026-09-29</x:v>
      </x:c>
      <x:c r="G225" s="8" t="str">
        <x:v>2026-12-01</x:v>
      </x:c>
      <x:c r="H225" s="8" t="n">
        <x:v>12</x:v>
      </x:c>
      <x:c r="I225" s="8"/>
      <x:c r="J225" s="8" t="n">
        <x:v>12</x:v>
      </x:c>
      <x:c r="K225" s="8" t="str">
        <x:v>unverified-denominator</x:v>
      </x:c>
      <x:c r="L225" s="8" t="d">
        <x:v>2026-09-16T05:12:38.111Z</x:v>
      </x:c>
      <x:c r="M225" s="8" t="str">
        <x:v>https://apm.activecommunities.com/portlandparks/Activity_Search/dance---tap-i-for-seniors/208739?locale=en-US</x:v>
      </x:c>
    </x:row>
    <x:row r="226" ht="38" customHeight="1">
      <x:c r="A226" s="7" t="str">
        <x:v>208746</x:v>
      </x:c>
      <x:c r="B226" s="12" t="str">
        <x:v>Dance - Tap II</x:v>
      </x:c>
      <x:c r="C226" s="12" t="str">
        <x:v>Multnomah Arts Ctr</x:v>
      </x:c>
      <x:c r="D226" s="12" t="str">
        <x:v>Dance</x:v>
      </x:c>
      <x:c r="E226" s="7" t="str">
        <x:v>future</x:v>
      </x:c>
      <x:c r="F226" s="7" t="str">
        <x:v>2026-10-01</x:v>
      </x:c>
      <x:c r="G226" s="7" t="str">
        <x:v>2026-12-10</x:v>
      </x:c>
      <x:c r="H226" s="7" t="n">
        <x:v>8</x:v>
      </x:c>
      <x:c r="I226" s="7"/>
      <x:c r="J226" s="7" t="n">
        <x:v>12</x:v>
      </x:c>
      <x:c r="K226" s="7" t="str">
        <x:v>unverified-denominator</x:v>
      </x:c>
      <x:c r="L226" s="7" t="d">
        <x:v>2026-09-16T05:12:38.111Z</x:v>
      </x:c>
      <x:c r="M226" s="7" t="str">
        <x:v>https://apm.activecommunities.com/portlandparks/Activity_Search/dance---tap-ii/208746?locale=en-US</x:v>
      </x:c>
    </x:row>
    <x:row r="227" ht="38" customHeight="1">
      <x:c r="A227" s="8" t="str">
        <x:v>208744</x:v>
      </x:c>
      <x:c r="B227" s="11" t="str">
        <x:v>Dance - Tap II</x:v>
      </x:c>
      <x:c r="C227" s="11" t="str">
        <x:v>Multnomah Arts Ctr</x:v>
      </x:c>
      <x:c r="D227" s="11" t="str">
        <x:v>Dance</x:v>
      </x:c>
      <x:c r="E227" s="8" t="str">
        <x:v>future</x:v>
      </x:c>
      <x:c r="F227" s="8" t="str">
        <x:v>2026-10-01</x:v>
      </x:c>
      <x:c r="G227" s="8" t="str">
        <x:v>2026-12-10</x:v>
      </x:c>
      <x:c r="H227" s="8" t="n">
        <x:v>11</x:v>
      </x:c>
      <x:c r="I227" s="8"/>
      <x:c r="J227" s="8" t="n">
        <x:v>12</x:v>
      </x:c>
      <x:c r="K227" s="8" t="str">
        <x:v>unverified-denominator</x:v>
      </x:c>
      <x:c r="L227" s="8" t="d">
        <x:v>2026-09-16T05:12:38.111Z</x:v>
      </x:c>
      <x:c r="M227" s="8" t="str">
        <x:v>https://apm.activecommunities.com/portlandparks/Activity_Search/dance---tap-ii/208744?locale=en-US</x:v>
      </x:c>
    </x:row>
    <x:row r="228" ht="38" customHeight="1">
      <x:c r="A228" s="7" t="str">
        <x:v>208740</x:v>
      </x:c>
      <x:c r="B228" s="12" t="str">
        <x:v>Dance - Tap II for Seniors</x:v>
      </x:c>
      <x:c r="C228" s="12" t="str">
        <x:v>Multnomah Arts Ctr</x:v>
      </x:c>
      <x:c r="D228" s="12" t="str">
        <x:v>Dance</x:v>
      </x:c>
      <x:c r="E228" s="7" t="str">
        <x:v>future</x:v>
      </x:c>
      <x:c r="F228" s="7" t="str">
        <x:v>2026-09-29</x:v>
      </x:c>
      <x:c r="G228" s="7" t="str">
        <x:v>2026-12-01</x:v>
      </x:c>
      <x:c r="H228" s="7" t="n">
        <x:v>12</x:v>
      </x:c>
      <x:c r="I228" s="7" t="n">
        <x:v>6</x:v>
      </x:c>
      <x:c r="J228" s="7" t="n">
        <x:v>12</x:v>
      </x:c>
      <x:c r="K228" s="7" t="str">
        <x:v>unverified-denominator</x:v>
      </x:c>
      <x:c r="L228" s="7" t="d">
        <x:v>2026-09-16T05:12:38.111Z</x:v>
      </x:c>
      <x:c r="M228" s="7" t="str">
        <x:v>https://apm.activecommunities.com/portlandparks/Activity_Search/dance---tap-ii-for-seniors/208740?locale=en-US</x:v>
      </x:c>
    </x:row>
    <x:row r="229" ht="38" customHeight="1">
      <x:c r="A229" s="8" t="str">
        <x:v>208742</x:v>
      </x:c>
      <x:c r="B229" s="11" t="str">
        <x:v>Dance - Tap III</x:v>
      </x:c>
      <x:c r="C229" s="11" t="str">
        <x:v>Multnomah Arts Ctr</x:v>
      </x:c>
      <x:c r="D229" s="11" t="str">
        <x:v>Dance</x:v>
      </x:c>
      <x:c r="E229" s="8" t="str">
        <x:v>future</x:v>
      </x:c>
      <x:c r="F229" s="8" t="str">
        <x:v>2026-09-30</x:v>
      </x:c>
      <x:c r="G229" s="8" t="str">
        <x:v>2026-12-09</x:v>
      </x:c>
      <x:c r="H229" s="8" t="n">
        <x:v>8</x:v>
      </x:c>
      <x:c r="I229" s="8"/>
      <x:c r="J229" s="8" t="n">
        <x:v>12</x:v>
      </x:c>
      <x:c r="K229" s="8" t="str">
        <x:v>unverified-denominator</x:v>
      </x:c>
      <x:c r="L229" s="8" t="d">
        <x:v>2026-09-16T05:12:38.111Z</x:v>
      </x:c>
      <x:c r="M229" s="8" t="str">
        <x:v>https://apm.activecommunities.com/portlandparks/Activity_Search/dance---tap-iii/208742?locale=en-US</x:v>
      </x:c>
    </x:row>
    <x:row r="230" ht="38" customHeight="1">
      <x:c r="A230" s="7" t="str">
        <x:v>208794</x:v>
      </x:c>
      <x:c r="B230" s="12" t="str">
        <x:v>Dance - Tiny Hip Hop</x:v>
      </x:c>
      <x:c r="C230" s="12" t="str">
        <x:v>Multnomah Arts Ctr</x:v>
      </x:c>
      <x:c r="D230" s="12" t="str">
        <x:v>Dance</x:v>
      </x:c>
      <x:c r="E230" s="7" t="str">
        <x:v>future</x:v>
      </x:c>
      <x:c r="F230" s="7" t="str">
        <x:v>2026-09-28</x:v>
      </x:c>
      <x:c r="G230" s="7" t="str">
        <x:v>2026-12-07</x:v>
      </x:c>
      <x:c r="H230" s="7" t="n">
        <x:v>10</x:v>
      </x:c>
      <x:c r="I230" s="7" t="n">
        <x:v>4</x:v>
      </x:c>
      <x:c r="J230" s="7" t="n">
        <x:v>10</x:v>
      </x:c>
      <x:c r="K230" s="7" t="str">
        <x:v>unverified-denominator</x:v>
      </x:c>
      <x:c r="L230" s="7" t="d">
        <x:v>2026-09-16T05:12:38.111Z</x:v>
      </x:c>
      <x:c r="M230" s="7" t="str">
        <x:v>https://apm.activecommunities.com/portlandparks/Activity_Search/dance---tiny-hip-hop/208794?locale=en-US</x:v>
      </x:c>
    </x:row>
    <x:row r="231" ht="38" customHeight="1">
      <x:c r="A231" s="8" t="str">
        <x:v>208769</x:v>
      </x:c>
      <x:c r="B231" s="11" t="str">
        <x:v>Dance - Tiny Tappers</x:v>
      </x:c>
      <x:c r="C231" s="11" t="str">
        <x:v>Multnomah Arts Ctr</x:v>
      </x:c>
      <x:c r="D231" s="11" t="str">
        <x:v>Dance</x:v>
      </x:c>
      <x:c r="E231" s="8" t="str">
        <x:v>future</x:v>
      </x:c>
      <x:c r="F231" s="8" t="str">
        <x:v>2026-10-29</x:v>
      </x:c>
      <x:c r="G231" s="8" t="str">
        <x:v>2026-12-10</x:v>
      </x:c>
      <x:c r="H231" s="8" t="n">
        <x:v>10</x:v>
      </x:c>
      <x:c r="I231" s="8"/>
      <x:c r="J231" s="8" t="n">
        <x:v>10</x:v>
      </x:c>
      <x:c r="K231" s="8" t="str">
        <x:v>unverified-denominator</x:v>
      </x:c>
      <x:c r="L231" s="8" t="d">
        <x:v>2026-09-16T05:12:38.111Z</x:v>
      </x:c>
      <x:c r="M231" s="8" t="str">
        <x:v>https://apm.activecommunities.com/portlandparks/Activity_Search/dance---tiny-tappers/208769?locale=en-US</x:v>
      </x:c>
    </x:row>
    <x:row r="232" ht="38" customHeight="1">
      <x:c r="A232" s="7" t="str">
        <x:v>207859</x:v>
      </x:c>
      <x:c r="B232" s="12" t="str">
        <x:v>Drawing &amp; Painting -  Young Artists</x:v>
      </x:c>
      <x:c r="C232" s="12" t="str">
        <x:v>Rosewood Initiative</x:v>
      </x:c>
      <x:c r="D232" s="12" t="str">
        <x:v>Arts &amp; Crafts - Painting</x:v>
      </x:c>
      <x:c r="E232" s="7" t="str">
        <x:v>future</x:v>
      </x:c>
      <x:c r="F232" s="7" t="str">
        <x:v>2026-09-29</x:v>
      </x:c>
      <x:c r="G232" s="7" t="str">
        <x:v>2026-10-27</x:v>
      </x:c>
      <x:c r="H232" s="7" t="n">
        <x:v>2</x:v>
      </x:c>
      <x:c r="I232" s="7"/>
      <x:c r="J232" s="7" t="n">
        <x:v>10</x:v>
      </x:c>
      <x:c r="K232" s="7" t="str">
        <x:v>unverified-denominator</x:v>
      </x:c>
      <x:c r="L232" s="7" t="d">
        <x:v>2026-09-16T05:12:38.111Z</x:v>
      </x:c>
      <x:c r="M232" s="7" t="str">
        <x:v>https://apm.activecommunities.com/portlandparks/Activity_Search/drawing-painting---young-artists/207859?locale=en-US</x:v>
      </x:c>
    </x:row>
    <x:row r="233" ht="38" customHeight="1">
      <x:c r="A233" s="8" t="str">
        <x:v>208684</x:v>
      </x:c>
      <x:c r="B233" s="11" t="str">
        <x:v>Drawing &amp; Painting -  Young Artists</x:v>
      </x:c>
      <x:c r="C233" s="11" t="str">
        <x:v>Rosewood Initiative</x:v>
      </x:c>
      <x:c r="D233" s="11" t="str">
        <x:v>Arts &amp; Crafts - Painting</x:v>
      </x:c>
      <x:c r="E233" s="8" t="str">
        <x:v>future</x:v>
      </x:c>
      <x:c r="F233" s="8" t="str">
        <x:v>2026-11-03</x:v>
      </x:c>
      <x:c r="G233" s="8" t="str">
        <x:v>2026-12-01</x:v>
      </x:c>
      <x:c r="H233" s="8" t="n">
        <x:v>0</x:v>
      </x:c>
      <x:c r="I233" s="8"/>
      <x:c r="J233" s="8" t="n">
        <x:v>10</x:v>
      </x:c>
      <x:c r="K233" s="8" t="str">
        <x:v>unverified-denominator</x:v>
      </x:c>
      <x:c r="L233" s="8" t="d">
        <x:v>2026-09-16T05:12:38.111Z</x:v>
      </x:c>
      <x:c r="M233" s="8" t="str">
        <x:v>https://apm.activecommunities.com/portlandparks/Activity_Search/drawing-painting---young-artists/208684?locale=en-US</x:v>
      </x:c>
    </x:row>
    <x:row r="234" ht="38" customHeight="1">
      <x:c r="A234" s="7" t="str">
        <x:v>208685</x:v>
      </x:c>
      <x:c r="B234" s="12" t="str">
        <x:v>Drawing &amp; Painting - Young Artists</x:v>
      </x:c>
      <x:c r="C234" s="12" t="str">
        <x:v>Rosewood Initiative</x:v>
      </x:c>
      <x:c r="D234" s="12" t="str">
        <x:v>Arts &amp; Crafts - Painting</x:v>
      </x:c>
      <x:c r="E234" s="7" t="str">
        <x:v>future</x:v>
      </x:c>
      <x:c r="F234" s="7" t="str">
        <x:v>2026-11-03</x:v>
      </x:c>
      <x:c r="G234" s="7" t="str">
        <x:v>2026-12-01</x:v>
      </x:c>
      <x:c r="H234" s="7" t="n">
        <x:v>0</x:v>
      </x:c>
      <x:c r="I234" s="7"/>
      <x:c r="J234" s="7" t="n">
        <x:v>10</x:v>
      </x:c>
      <x:c r="K234" s="7" t="str">
        <x:v>unverified-denominator</x:v>
      </x:c>
      <x:c r="L234" s="7" t="d">
        <x:v>2026-09-16T05:12:38.111Z</x:v>
      </x:c>
      <x:c r="M234" s="7" t="str">
        <x:v>https://apm.activecommunities.com/portlandparks/Activity_Search/drawing-painting---young-artists/208685?locale=en-US</x:v>
      </x:c>
    </x:row>
    <x:row r="235" ht="38" customHeight="1">
      <x:c r="A235" s="8" t="str">
        <x:v>207860</x:v>
      </x:c>
      <x:c r="B235" s="11" t="str">
        <x:v>Drawing &amp; Painting - Young Artists</x:v>
      </x:c>
      <x:c r="C235" s="11" t="str">
        <x:v>Rosewood Initiative</x:v>
      </x:c>
      <x:c r="D235" s="11" t="str">
        <x:v>Arts &amp; Crafts - Painting</x:v>
      </x:c>
      <x:c r="E235" s="8" t="str">
        <x:v>future</x:v>
      </x:c>
      <x:c r="F235" s="8" t="str">
        <x:v>2026-09-29</x:v>
      </x:c>
      <x:c r="G235" s="8" t="str">
        <x:v>2026-10-27</x:v>
      </x:c>
      <x:c r="H235" s="8" t="n">
        <x:v>5</x:v>
      </x:c>
      <x:c r="I235" s="8"/>
      <x:c r="J235" s="8" t="n">
        <x:v>10</x:v>
      </x:c>
      <x:c r="K235" s="8" t="str">
        <x:v>unverified-denominator</x:v>
      </x:c>
      <x:c r="L235" s="8" t="d">
        <x:v>2026-09-16T05:12:38.111Z</x:v>
      </x:c>
      <x:c r="M235" s="8" t="str">
        <x:v>https://apm.activecommunities.com/portlandparks/Activity_Search/drawing-painting---young-artists/207860?locale=en-US</x:v>
      </x:c>
    </x:row>
    <x:row r="236" ht="38" customHeight="1">
      <x:c r="A236" s="7" t="str">
        <x:v>208594</x:v>
      </x:c>
      <x:c r="B236" s="12" t="str">
        <x:v>Drawing - Beginning</x:v>
      </x:c>
      <x:c r="C236" s="12" t="str">
        <x:v>Matt Dishman Cmty Ctr</x:v>
      </x:c>
      <x:c r="D236" s="12" t="str">
        <x:v>Arts &amp; Crafts - Cartooning &amp; Drawing</x:v>
      </x:c>
      <x:c r="E236" s="7" t="str">
        <x:v>future</x:v>
      </x:c>
      <x:c r="F236" s="7" t="str">
        <x:v>2026-11-04</x:v>
      </x:c>
      <x:c r="G236" s="7" t="str">
        <x:v>2026-12-09</x:v>
      </x:c>
      <x:c r="H236" s="7" t="n">
        <x:v>0</x:v>
      </x:c>
      <x:c r="I236" s="7"/>
      <x:c r="J236" s="7" t="n">
        <x:v>10</x:v>
      </x:c>
      <x:c r="K236" s="7" t="str">
        <x:v>unverified-denominator</x:v>
      </x:c>
      <x:c r="L236" s="7" t="d">
        <x:v>2026-09-16T05:12:38.111Z</x:v>
      </x:c>
      <x:c r="M236" s="7" t="str">
        <x:v>https://apm.activecommunities.com/portlandparks/Activity_Search/drawing---beginning/208594?locale=en-US</x:v>
      </x:c>
    </x:row>
    <x:row r="237" ht="38" customHeight="1">
      <x:c r="A237" s="8" t="str">
        <x:v>207484</x:v>
      </x:c>
      <x:c r="B237" s="11" t="str">
        <x:v>Drawing - Beginning</x:v>
      </x:c>
      <x:c r="C237" s="11" t="str">
        <x:v>Multnomah Arts Ctr</x:v>
      </x:c>
      <x:c r="D237" s="11" t="str">
        <x:v>Arts &amp; Crafts - Cartooning &amp; Drawing</x:v>
      </x:c>
      <x:c r="E237" s="8" t="str">
        <x:v>future</x:v>
      </x:c>
      <x:c r="F237" s="8" t="str">
        <x:v>2026-09-30</x:v>
      </x:c>
      <x:c r="G237" s="8" t="str">
        <x:v>2026-12-02</x:v>
      </x:c>
      <x:c r="H237" s="8" t="n">
        <x:v>12</x:v>
      </x:c>
      <x:c r="I237" s="8" t="n">
        <x:v>6</x:v>
      </x:c>
      <x:c r="J237" s="8" t="n">
        <x:v>12</x:v>
      </x:c>
      <x:c r="K237" s="8" t="str">
        <x:v>unverified-denominator</x:v>
      </x:c>
      <x:c r="L237" s="8" t="d">
        <x:v>2026-09-16T05:12:38.111Z</x:v>
      </x:c>
      <x:c r="M237" s="8" t="str">
        <x:v>https://apm.activecommunities.com/portlandparks/Activity_Search/drawing---beginning/207484?locale=en-US</x:v>
      </x:c>
    </x:row>
    <x:row r="238" ht="38" customHeight="1">
      <x:c r="A238" s="7" t="str">
        <x:v>207485</x:v>
      </x:c>
      <x:c r="B238" s="12" t="str">
        <x:v>Drawing - Colored Pencil: Basics &amp; Beyond</x:v>
      </x:c>
      <x:c r="C238" s="12" t="str">
        <x:v>Multnomah Arts Ctr</x:v>
      </x:c>
      <x:c r="D238" s="12" t="str">
        <x:v>Arts &amp; Crafts - Cartooning &amp; Drawing</x:v>
      </x:c>
      <x:c r="E238" s="7" t="str">
        <x:v>future</x:v>
      </x:c>
      <x:c r="F238" s="7" t="str">
        <x:v>2026-10-01</x:v>
      </x:c>
      <x:c r="G238" s="7" t="str">
        <x:v>2026-12-10</x:v>
      </x:c>
      <x:c r="H238" s="7" t="n">
        <x:v>12</x:v>
      </x:c>
      <x:c r="I238" s="7" t="n">
        <x:v>6</x:v>
      </x:c>
      <x:c r="J238" s="7" t="n">
        <x:v>12</x:v>
      </x:c>
      <x:c r="K238" s="7" t="str">
        <x:v>unverified-denominator</x:v>
      </x:c>
      <x:c r="L238" s="7" t="d">
        <x:v>2026-09-16T05:12:38.111Z</x:v>
      </x:c>
      <x:c r="M238" s="7" t="str">
        <x:v>https://apm.activecommunities.com/portlandparks/Activity_Search/drawing---colored-pencil-basics-beyond/207485?locale=en-US</x:v>
      </x:c>
    </x:row>
    <x:row r="239" ht="38" customHeight="1">
      <x:c r="A239" s="8" t="str">
        <x:v>208703</x:v>
      </x:c>
      <x:c r="B239" s="11" t="str">
        <x:v>Drawing - Drawing with Pen and Ink</x:v>
      </x:c>
      <x:c r="C239" s="11" t="str">
        <x:v>Woodstock Cmty Ctr</x:v>
      </x:c>
      <x:c r="D239" s="11" t="str">
        <x:v>Arts &amp; Crafts - Cartooning &amp; Drawing</x:v>
      </x:c>
      <x:c r="E239" s="8" t="str">
        <x:v>future</x:v>
      </x:c>
      <x:c r="F239" s="8" t="str">
        <x:v>2026-10-02</x:v>
      </x:c>
      <x:c r="G239" s="8" t="str">
        <x:v>2026-10-30</x:v>
      </x:c>
      <x:c r="H239" s="8" t="n">
        <x:v>8</x:v>
      </x:c>
      <x:c r="I239" s="8"/>
      <x:c r="J239" s="8" t="n">
        <x:v>10</x:v>
      </x:c>
      <x:c r="K239" s="8" t="str">
        <x:v>unverified-denominator</x:v>
      </x:c>
      <x:c r="L239" s="8" t="d">
        <x:v>2026-09-16T05:12:38.111Z</x:v>
      </x:c>
      <x:c r="M239" s="8" t="str">
        <x:v>https://apm.activecommunities.com/portlandparks/Activity_Search/drawing---drawing-with-pen-and-ink/208703?locale=en-US</x:v>
      </x:c>
    </x:row>
    <x:row r="240" ht="38" customHeight="1">
      <x:c r="A240" s="7" t="str">
        <x:v>208879</x:v>
      </x:c>
      <x:c r="B240" s="12" t="str">
        <x:v>Drawing - Drawing with Pen and Ink</x:v>
      </x:c>
      <x:c r="C240" s="12" t="str">
        <x:v>Woodstock Cmty Ctr</x:v>
      </x:c>
      <x:c r="D240" s="12" t="str">
        <x:v>Arts &amp; Crafts - Cartooning &amp; Drawing</x:v>
      </x:c>
      <x:c r="E240" s="7" t="str">
        <x:v>future</x:v>
      </x:c>
      <x:c r="F240" s="7" t="str">
        <x:v>2026-11-06</x:v>
      </x:c>
      <x:c r="G240" s="7" t="str">
        <x:v>2026-12-11</x:v>
      </x:c>
      <x:c r="H240" s="7" t="n">
        <x:v>0</x:v>
      </x:c>
      <x:c r="I240" s="7"/>
      <x:c r="J240" s="7" t="n">
        <x:v>10</x:v>
      </x:c>
      <x:c r="K240" s="7" t="str">
        <x:v>unverified-denominator</x:v>
      </x:c>
      <x:c r="L240" s="7" t="d">
        <x:v>2026-09-16T05:12:38.111Z</x:v>
      </x:c>
      <x:c r="M240" s="7" t="str">
        <x:v>https://apm.activecommunities.com/portlandparks/Activity_Search/drawing---drawing-with-pen-and-ink/208879?locale=en-US</x:v>
      </x:c>
    </x:row>
    <x:row r="241" ht="38" customHeight="1">
      <x:c r="A241" s="8" t="str">
        <x:v>207486</x:v>
      </x:c>
      <x:c r="B241" s="11" t="str">
        <x:v>Drawing - Mixed Media</x:v>
      </x:c>
      <x:c r="C241" s="11" t="str">
        <x:v>Multnomah Arts Ctr</x:v>
      </x:c>
      <x:c r="D241" s="11" t="str">
        <x:v>Arts &amp; Crafts - Cartooning &amp; Drawing</x:v>
      </x:c>
      <x:c r="E241" s="8" t="str">
        <x:v>future</x:v>
      </x:c>
      <x:c r="F241" s="8" t="str">
        <x:v>2026-10-01</x:v>
      </x:c>
      <x:c r="G241" s="8" t="str">
        <x:v>2026-12-10</x:v>
      </x:c>
      <x:c r="H241" s="8" t="n">
        <x:v>12</x:v>
      </x:c>
      <x:c r="I241" s="8" t="n">
        <x:v>2</x:v>
      </x:c>
      <x:c r="J241" s="8" t="n">
        <x:v>12</x:v>
      </x:c>
      <x:c r="K241" s="8" t="str">
        <x:v>unverified-denominator</x:v>
      </x:c>
      <x:c r="L241" s="8" t="d">
        <x:v>2026-09-16T05:12:38.111Z</x:v>
      </x:c>
      <x:c r="M241" s="8" t="str">
        <x:v>https://apm.activecommunities.com/portlandparks/Activity_Search/drawing---mixed-media/207486?locale=en-US</x:v>
      </x:c>
    </x:row>
    <x:row r="242" ht="38" customHeight="1">
      <x:c r="A242" s="7" t="str">
        <x:v>208163</x:v>
      </x:c>
      <x:c r="B242" s="12" t="str">
        <x:v>EPCC - Adult Beginner</x:v>
      </x:c>
      <x:c r="C242" s="12" t="str">
        <x:v>East Portland Indoor Pool</x:v>
      </x:c>
      <x:c r="D242" s="12" t="str">
        <x:v>Aquatics - Lessons</x:v>
      </x:c>
      <x:c r="E242" s="7" t="str">
        <x:v>future</x:v>
      </x:c>
      <x:c r="F242" s="7" t="str">
        <x:v>2026-11-16</x:v>
      </x:c>
      <x:c r="G242" s="7" t="str">
        <x:v>2026-12-09</x:v>
      </x:c>
      <x:c r="H242" s="7" t="n">
        <x:v>0</x:v>
      </x:c>
      <x:c r="I242" s="7"/>
      <x:c r="J242" s="7" t="n">
        <x:v>8</x:v>
      </x:c>
      <x:c r="K242" s="7" t="str">
        <x:v>unverified-denominator</x:v>
      </x:c>
      <x:c r="L242" s="7" t="d">
        <x:v>2026-09-16T05:12:38.111Z</x:v>
      </x:c>
      <x:c r="M242" s="7" t="str">
        <x:v>https://apm.activecommunities.com/portlandparks/Activity_Search/epcc---adult-beginner/208163?locale=en-US</x:v>
      </x:c>
    </x:row>
    <x:row r="243" ht="38" customHeight="1">
      <x:c r="A243" s="8" t="str">
        <x:v>208123</x:v>
      </x:c>
      <x:c r="B243" s="11" t="str">
        <x:v>EPCC - Adult Beginner</x:v>
      </x:c>
      <x:c r="C243" s="11" t="str">
        <x:v>East Portland Indoor Pool</x:v>
      </x:c>
      <x:c r="D243" s="11" t="str">
        <x:v>Aquatics - Lessons</x:v>
      </x:c>
      <x:c r="E243" s="8" t="str">
        <x:v>active</x:v>
      </x:c>
      <x:c r="F243" s="8" t="str">
        <x:v>2026-09-09</x:v>
      </x:c>
      <x:c r="G243" s="8" t="str">
        <x:v>2026-10-07</x:v>
      </x:c>
      <x:c r="H243" s="8" t="n">
        <x:v>7</x:v>
      </x:c>
      <x:c r="I243" s="8" t="n">
        <x:v>8</x:v>
      </x:c>
      <x:c r="J243" s="8" t="n">
        <x:v>8</x:v>
      </x:c>
      <x:c r="K243" s="8" t="str">
        <x:v>unverified-denominator</x:v>
      </x:c>
      <x:c r="L243" s="8" t="d">
        <x:v>2026-09-16T05:12:38.111Z</x:v>
      </x:c>
      <x:c r="M243" s="8" t="str">
        <x:v>https://apm.activecommunities.com/portlandparks/Activity_Search/epcc---adult-beginner/208123?locale=en-US</x:v>
      </x:c>
    </x:row>
    <x:row r="244" ht="38" customHeight="1">
      <x:c r="A244" s="7" t="str">
        <x:v>208126</x:v>
      </x:c>
      <x:c r="B244" s="12" t="str">
        <x:v>EPCC - Angelfish</x:v>
      </x:c>
      <x:c r="C244" s="12" t="str">
        <x:v>East Portland Indoor Pool</x:v>
      </x:c>
      <x:c r="D244" s="12" t="str">
        <x:v>Aquatics - Lessons</x:v>
      </x:c>
      <x:c r="E244" s="7" t="str">
        <x:v>active</x:v>
      </x:c>
      <x:c r="F244" s="7" t="str">
        <x:v>2026-09-08</x:v>
      </x:c>
      <x:c r="G244" s="7" t="str">
        <x:v>2026-10-08</x:v>
      </x:c>
      <x:c r="H244" s="7" t="n">
        <x:v>12</x:v>
      </x:c>
      <x:c r="I244" s="7"/>
      <x:c r="J244" s="7" t="n">
        <x:v>12</x:v>
      </x:c>
      <x:c r="K244" s="7" t="str">
        <x:v>unverified-denominator</x:v>
      </x:c>
      <x:c r="L244" s="7" t="d">
        <x:v>2026-09-16T05:12:38.111Z</x:v>
      </x:c>
      <x:c r="M244" s="7" t="str">
        <x:v>https://apm.activecommunities.com/portlandparks/Activity_Search/epcc---angelfish/208126?locale=en-US</x:v>
      </x:c>
    </x:row>
    <x:row r="245" ht="38" customHeight="1">
      <x:c r="A245" s="8" t="str">
        <x:v>208152</x:v>
      </x:c>
      <x:c r="B245" s="11" t="str">
        <x:v>EPCC - Angelfish</x:v>
      </x:c>
      <x:c r="C245" s="11" t="str">
        <x:v>East Portland Indoor Pool</x:v>
      </x:c>
      <x:c r="D245" s="11" t="str">
        <x:v>Aquatics - Lessons</x:v>
      </x:c>
      <x:c r="E245" s="8" t="str">
        <x:v>future</x:v>
      </x:c>
      <x:c r="F245" s="8" t="str">
        <x:v>2026-11-16</x:v>
      </x:c>
      <x:c r="G245" s="8" t="str">
        <x:v>2026-12-09</x:v>
      </x:c>
      <x:c r="H245" s="8" t="n">
        <x:v>0</x:v>
      </x:c>
      <x:c r="I245" s="8"/>
      <x:c r="J245" s="8" t="n">
        <x:v>12</x:v>
      </x:c>
      <x:c r="K245" s="8" t="str">
        <x:v>unverified-denominator</x:v>
      </x:c>
      <x:c r="L245" s="8" t="d">
        <x:v>2026-09-16T05:12:38.111Z</x:v>
      </x:c>
      <x:c r="M245" s="8" t="str">
        <x:v>https://apm.activecommunities.com/portlandparks/Activity_Search/epcc---angelfish/208152?locale=en-US</x:v>
      </x:c>
    </x:row>
    <x:row r="246" ht="38" customHeight="1">
      <x:c r="A246" s="7" t="str">
        <x:v>208164</x:v>
      </x:c>
      <x:c r="B246" s="12" t="str">
        <x:v>EPCC - Angelfish</x:v>
      </x:c>
      <x:c r="C246" s="12" t="str">
        <x:v>East Portland Indoor Pool</x:v>
      </x:c>
      <x:c r="D246" s="12" t="str">
        <x:v>Aquatics - Lessons</x:v>
      </x:c>
      <x:c r="E246" s="7" t="str">
        <x:v>future</x:v>
      </x:c>
      <x:c r="F246" s="7" t="str">
        <x:v>2026-11-17</x:v>
      </x:c>
      <x:c r="G246" s="7" t="str">
        <x:v>2026-12-10</x:v>
      </x:c>
      <x:c r="H246" s="7" t="n">
        <x:v>0</x:v>
      </x:c>
      <x:c r="I246" s="7"/>
      <x:c r="J246" s="7" t="n">
        <x:v>12</x:v>
      </x:c>
      <x:c r="K246" s="7" t="str">
        <x:v>unverified-denominator</x:v>
      </x:c>
      <x:c r="L246" s="7" t="d">
        <x:v>2026-09-16T05:12:38.111Z</x:v>
      </x:c>
      <x:c r="M246" s="7" t="str">
        <x:v>https://apm.activecommunities.com/portlandparks/Activity_Search/epcc---angelfish/208164?locale=en-US</x:v>
      </x:c>
    </x:row>
    <x:row r="247" ht="38" customHeight="1">
      <x:c r="A247" s="8" t="str">
        <x:v>208100</x:v>
      </x:c>
      <x:c r="B247" s="11" t="str">
        <x:v>EPCC - Angelfish</x:v>
      </x:c>
      <x:c r="C247" s="11" t="str">
        <x:v>East Portland Indoor Pool</x:v>
      </x:c>
      <x:c r="D247" s="11" t="str">
        <x:v>Aquatics - Lessons</x:v>
      </x:c>
      <x:c r="E247" s="8" t="str">
        <x:v>future</x:v>
      </x:c>
      <x:c r="F247" s="8" t="str">
        <x:v>2026-11-17</x:v>
      </x:c>
      <x:c r="G247" s="8" t="str">
        <x:v>2026-12-10</x:v>
      </x:c>
      <x:c r="H247" s="8" t="n">
        <x:v>0</x:v>
      </x:c>
      <x:c r="I247" s="8"/>
      <x:c r="J247" s="8" t="n">
        <x:v>12</x:v>
      </x:c>
      <x:c r="K247" s="8" t="str">
        <x:v>unverified-denominator</x:v>
      </x:c>
      <x:c r="L247" s="8" t="d">
        <x:v>2026-09-16T05:12:38.111Z</x:v>
      </x:c>
      <x:c r="M247" s="8" t="str">
        <x:v>https://apm.activecommunities.com/portlandparks/Activity_Search/epcc---angelfish/208100?locale=en-US</x:v>
      </x:c>
    </x:row>
    <x:row r="248" ht="38" customHeight="1">
      <x:c r="A248" s="7" t="str">
        <x:v>207688</x:v>
      </x:c>
      <x:c r="B248" s="12" t="str">
        <x:v>EPCC - Angelfish</x:v>
      </x:c>
      <x:c r="C248" s="12" t="str">
        <x:v>East Portland Indoor Pool</x:v>
      </x:c>
      <x:c r="D248" s="12" t="str">
        <x:v>Aquatics - Lessons</x:v>
      </x:c>
      <x:c r="E248" s="7" t="str">
        <x:v>active</x:v>
      </x:c>
      <x:c r="F248" s="7" t="str">
        <x:v>2026-09-09</x:v>
      </x:c>
      <x:c r="G248" s="7" t="str">
        <x:v>2026-10-07</x:v>
      </x:c>
      <x:c r="H248" s="7" t="n">
        <x:v>6</x:v>
      </x:c>
      <x:c r="I248" s="7"/>
      <x:c r="J248" s="7" t="n">
        <x:v>12</x:v>
      </x:c>
      <x:c r="K248" s="7" t="str">
        <x:v>unverified-denominator</x:v>
      </x:c>
      <x:c r="L248" s="7" t="d">
        <x:v>2026-09-16T05:12:38.111Z</x:v>
      </x:c>
      <x:c r="M248" s="7" t="str">
        <x:v>https://apm.activecommunities.com/portlandparks/Activity_Search/epcc---angelfish/207688?locale=en-US</x:v>
      </x:c>
    </x:row>
    <x:row r="249" ht="38" customHeight="1">
      <x:c r="A249" s="8" t="str">
        <x:v>207690</x:v>
      </x:c>
      <x:c r="B249" s="11" t="str">
        <x:v>EPCC - Angelfish</x:v>
      </x:c>
      <x:c r="C249" s="11" t="str">
        <x:v>East Portland Indoor Pool</x:v>
      </x:c>
      <x:c r="D249" s="11" t="str">
        <x:v>Aquatics - Lessons</x:v>
      </x:c>
      <x:c r="E249" s="8" t="str">
        <x:v>active</x:v>
      </x:c>
      <x:c r="F249" s="8" t="str">
        <x:v>2026-09-08</x:v>
      </x:c>
      <x:c r="G249" s="8" t="str">
        <x:v>2026-10-08</x:v>
      </x:c>
      <x:c r="H249" s="8" t="n">
        <x:v>4</x:v>
      </x:c>
      <x:c r="I249" s="8"/>
      <x:c r="J249" s="8" t="n">
        <x:v>12</x:v>
      </x:c>
      <x:c r="K249" s="8" t="str">
        <x:v>unverified-denominator</x:v>
      </x:c>
      <x:c r="L249" s="8" t="d">
        <x:v>2026-09-16T05:12:38.111Z</x:v>
      </x:c>
      <x:c r="M249" s="8" t="str">
        <x:v>https://apm.activecommunities.com/portlandparks/Activity_Search/epcc---angelfish/207690?locale=en-US</x:v>
      </x:c>
    </x:row>
    <x:row r="250" ht="38" customHeight="1">
      <x:c r="A250" s="7" t="str">
        <x:v>207695</x:v>
      </x:c>
      <x:c r="B250" s="12" t="str">
        <x:v>EPCC - Angelfish</x:v>
      </x:c>
      <x:c r="C250" s="12" t="str">
        <x:v>East Portland Indoor Pool</x:v>
      </x:c>
      <x:c r="D250" s="12" t="str">
        <x:v>Aquatics - Lessons</x:v>
      </x:c>
      <x:c r="E250" s="7" t="str">
        <x:v>future</x:v>
      </x:c>
      <x:c r="F250" s="7" t="str">
        <x:v>2026-11-16</x:v>
      </x:c>
      <x:c r="G250" s="7" t="str">
        <x:v>2026-12-09</x:v>
      </x:c>
      <x:c r="H250" s="7" t="n">
        <x:v>0</x:v>
      </x:c>
      <x:c r="I250" s="7"/>
      <x:c r="J250" s="7" t="n">
        <x:v>12</x:v>
      </x:c>
      <x:c r="K250" s="7" t="str">
        <x:v>unverified-denominator</x:v>
      </x:c>
      <x:c r="L250" s="7" t="d">
        <x:v>2026-09-16T05:12:38.111Z</x:v>
      </x:c>
      <x:c r="M250" s="7" t="str">
        <x:v>https://apm.activecommunities.com/portlandparks/Activity_Search/epcc---angelfish/207695?locale=en-US</x:v>
      </x:c>
    </x:row>
    <x:row r="251" ht="38" customHeight="1">
      <x:c r="A251" s="8" t="str">
        <x:v>208116</x:v>
      </x:c>
      <x:c r="B251" s="11" t="str">
        <x:v>EPCC - Dolphin</x:v>
      </x:c>
      <x:c r="C251" s="11" t="str">
        <x:v>East Portland Indoor Pool</x:v>
      </x:c>
      <x:c r="D251" s="11" t="str">
        <x:v>Aquatics - Lessons</x:v>
      </x:c>
      <x:c r="E251" s="8" t="str">
        <x:v>active</x:v>
      </x:c>
      <x:c r="F251" s="8" t="str">
        <x:v>2026-09-09</x:v>
      </x:c>
      <x:c r="G251" s="8" t="str">
        <x:v>2026-10-07</x:v>
      </x:c>
      <x:c r="H251" s="8" t="n">
        <x:v>6</x:v>
      </x:c>
      <x:c r="I251" s="8" t="n">
        <x:v>8</x:v>
      </x:c>
      <x:c r="J251" s="8" t="n">
        <x:v>8</x:v>
      </x:c>
      <x:c r="K251" s="8" t="str">
        <x:v>unverified-denominator</x:v>
      </x:c>
      <x:c r="L251" s="8" t="d">
        <x:v>2026-09-16T05:12:38.111Z</x:v>
      </x:c>
      <x:c r="M251" s="8" t="str">
        <x:v>https://apm.activecommunities.com/portlandparks/Activity_Search/epcc---dolphin/208116?locale=en-US</x:v>
      </x:c>
    </x:row>
    <x:row r="252" ht="38" customHeight="1">
      <x:c r="A252" s="7" t="str">
        <x:v>208180</x:v>
      </x:c>
      <x:c r="B252" s="12" t="str">
        <x:v>EPCC - Dolphin</x:v>
      </x:c>
      <x:c r="C252" s="12" t="str">
        <x:v>East Portland Indoor Pool</x:v>
      </x:c>
      <x:c r="D252" s="12" t="str">
        <x:v>Aquatics - Lessons</x:v>
      </x:c>
      <x:c r="E252" s="7" t="str">
        <x:v>future</x:v>
      </x:c>
      <x:c r="F252" s="7" t="str">
        <x:v>2026-11-17</x:v>
      </x:c>
      <x:c r="G252" s="7" t="str">
        <x:v>2026-12-10</x:v>
      </x:c>
      <x:c r="H252" s="7" t="n">
        <x:v>0</x:v>
      </x:c>
      <x:c r="I252" s="7"/>
      <x:c r="J252" s="7" t="n">
        <x:v>8</x:v>
      </x:c>
      <x:c r="K252" s="7" t="str">
        <x:v>unverified-denominator</x:v>
      </x:c>
      <x:c r="L252" s="7" t="d">
        <x:v>2026-09-16T05:12:38.111Z</x:v>
      </x:c>
      <x:c r="M252" s="7" t="str">
        <x:v>https://apm.activecommunities.com/portlandparks/Activity_Search/epcc---dolphin/208180?locale=en-US</x:v>
      </x:c>
    </x:row>
    <x:row r="253" ht="38" customHeight="1">
      <x:c r="A253" s="8" t="str">
        <x:v>208150</x:v>
      </x:c>
      <x:c r="B253" s="11" t="str">
        <x:v>EPCC - Dolphin</x:v>
      </x:c>
      <x:c r="C253" s="11" t="str">
        <x:v>East Portland Indoor Pool</x:v>
      </x:c>
      <x:c r="D253" s="11" t="str">
        <x:v>Aquatics - Lessons</x:v>
      </x:c>
      <x:c r="E253" s="8" t="str">
        <x:v>future</x:v>
      </x:c>
      <x:c r="F253" s="8" t="str">
        <x:v>2026-11-16</x:v>
      </x:c>
      <x:c r="G253" s="8" t="str">
        <x:v>2026-12-09</x:v>
      </x:c>
      <x:c r="H253" s="8" t="n">
        <x:v>0</x:v>
      </x:c>
      <x:c r="I253" s="8"/>
      <x:c r="J253" s="8" t="n">
        <x:v>8</x:v>
      </x:c>
      <x:c r="K253" s="8" t="str">
        <x:v>unverified-denominator</x:v>
      </x:c>
      <x:c r="L253" s="8" t="d">
        <x:v>2026-09-16T05:12:38.111Z</x:v>
      </x:c>
      <x:c r="M253" s="8" t="str">
        <x:v>https://apm.activecommunities.com/portlandparks/Activity_Search/epcc---dolphin/208150?locale=en-US</x:v>
      </x:c>
    </x:row>
    <x:row r="254" ht="38" customHeight="1">
      <x:c r="A254" s="7" t="str">
        <x:v>208140</x:v>
      </x:c>
      <x:c r="B254" s="12" t="str">
        <x:v>EPCC - Dolphin</x:v>
      </x:c>
      <x:c r="C254" s="12" t="str">
        <x:v>East Portland Indoor Pool</x:v>
      </x:c>
      <x:c r="D254" s="12" t="str">
        <x:v>Aquatics - Lessons</x:v>
      </x:c>
      <x:c r="E254" s="7" t="str">
        <x:v>active</x:v>
      </x:c>
      <x:c r="F254" s="7" t="str">
        <x:v>2026-09-08</x:v>
      </x:c>
      <x:c r="G254" s="7" t="str">
        <x:v>2026-10-08</x:v>
      </x:c>
      <x:c r="H254" s="7" t="n">
        <x:v>6</x:v>
      </x:c>
      <x:c r="I254" s="7" t="n">
        <x:v>2</x:v>
      </x:c>
      <x:c r="J254" s="7" t="n">
        <x:v>8</x:v>
      </x:c>
      <x:c r="K254" s="7" t="str">
        <x:v>unverified-denominator</x:v>
      </x:c>
      <x:c r="L254" s="7" t="d">
        <x:v>2026-09-16T05:12:38.111Z</x:v>
      </x:c>
      <x:c r="M254" s="7" t="str">
        <x:v>https://apm.activecommunities.com/portlandparks/Activity_Search/epcc---dolphin/208140?locale=en-US</x:v>
      </x:c>
    </x:row>
    <x:row r="255" ht="38" customHeight="1">
      <x:c r="A255" s="8" t="str">
        <x:v>208155</x:v>
      </x:c>
      <x:c r="B255" s="11" t="str">
        <x:v>EPCC - Goldfish</x:v>
      </x:c>
      <x:c r="C255" s="11" t="str">
        <x:v>East Portland Indoor Pool</x:v>
      </x:c>
      <x:c r="D255" s="11" t="str">
        <x:v>Aquatics - Lessons</x:v>
      </x:c>
      <x:c r="E255" s="8" t="str">
        <x:v>future</x:v>
      </x:c>
      <x:c r="F255" s="8" t="str">
        <x:v>2026-11-16</x:v>
      </x:c>
      <x:c r="G255" s="8" t="str">
        <x:v>2026-12-09</x:v>
      </x:c>
      <x:c r="H255" s="8" t="n">
        <x:v>0</x:v>
      </x:c>
      <x:c r="I255" s="8"/>
      <x:c r="J255" s="8" t="n">
        <x:v>5</x:v>
      </x:c>
      <x:c r="K255" s="8" t="str">
        <x:v>unverified-denominator</x:v>
      </x:c>
      <x:c r="L255" s="8" t="d">
        <x:v>2026-09-16T05:12:38.111Z</x:v>
      </x:c>
      <x:c r="M255" s="8" t="str">
        <x:v>https://apm.activecommunities.com/portlandparks/Activity_Search/epcc---goldfish/208155?locale=en-US</x:v>
      </x:c>
    </x:row>
    <x:row r="256" ht="38" customHeight="1">
      <x:c r="A256" s="7" t="str">
        <x:v>208156</x:v>
      </x:c>
      <x:c r="B256" s="12" t="str">
        <x:v>EPCC - Goldfish</x:v>
      </x:c>
      <x:c r="C256" s="12" t="str">
        <x:v>East Portland Indoor Pool</x:v>
      </x:c>
      <x:c r="D256" s="12" t="str">
        <x:v>Aquatics - Lessons</x:v>
      </x:c>
      <x:c r="E256" s="7" t="str">
        <x:v>future</x:v>
      </x:c>
      <x:c r="F256" s="7" t="str">
        <x:v>2026-11-16</x:v>
      </x:c>
      <x:c r="G256" s="7" t="str">
        <x:v>2026-12-09</x:v>
      </x:c>
      <x:c r="H256" s="7" t="n">
        <x:v>0</x:v>
      </x:c>
      <x:c r="I256" s="7"/>
      <x:c r="J256" s="7" t="n">
        <x:v>5</x:v>
      </x:c>
      <x:c r="K256" s="7" t="str">
        <x:v>unverified-denominator</x:v>
      </x:c>
      <x:c r="L256" s="7" t="d">
        <x:v>2026-09-16T05:12:38.111Z</x:v>
      </x:c>
      <x:c r="M256" s="7" t="str">
        <x:v>https://apm.activecommunities.com/portlandparks/Activity_Search/epcc---goldfish/208156?locale=en-US</x:v>
      </x:c>
    </x:row>
    <x:row r="257" ht="38" customHeight="1">
      <x:c r="A257" s="8" t="str">
        <x:v>208128</x:v>
      </x:c>
      <x:c r="B257" s="11" t="str">
        <x:v>EPCC - Goldfish</x:v>
      </x:c>
      <x:c r="C257" s="11" t="str">
        <x:v>East Portland Indoor Pool</x:v>
      </x:c>
      <x:c r="D257" s="11" t="str">
        <x:v>Aquatics - Lessons</x:v>
      </x:c>
      <x:c r="E257" s="8" t="str">
        <x:v>active</x:v>
      </x:c>
      <x:c r="F257" s="8" t="str">
        <x:v>2026-09-08</x:v>
      </x:c>
      <x:c r="G257" s="8" t="str">
        <x:v>2026-10-08</x:v>
      </x:c>
      <x:c r="H257" s="8" t="n">
        <x:v>4</x:v>
      </x:c>
      <x:c r="I257" s="8" t="n">
        <x:v>7</x:v>
      </x:c>
      <x:c r="J257" s="8" t="n">
        <x:v>5</x:v>
      </x:c>
      <x:c r="K257" s="8" t="str">
        <x:v>unverified-denominator</x:v>
      </x:c>
      <x:c r="L257" s="8" t="d">
        <x:v>2026-09-16T05:12:38.111Z</x:v>
      </x:c>
      <x:c r="M257" s="8" t="str">
        <x:v>https://apm.activecommunities.com/portlandparks/Activity_Search/epcc---goldfish/208128?locale=en-US</x:v>
      </x:c>
    </x:row>
    <x:row r="258" ht="38" customHeight="1">
      <x:c r="A258" s="7" t="str">
        <x:v>208129</x:v>
      </x:c>
      <x:c r="B258" s="12" t="str">
        <x:v>EPCC - Goldfish</x:v>
      </x:c>
      <x:c r="C258" s="12" t="str">
        <x:v>East Portland Indoor Pool</x:v>
      </x:c>
      <x:c r="D258" s="12" t="str">
        <x:v>Aquatics - Lessons</x:v>
      </x:c>
      <x:c r="E258" s="7" t="str">
        <x:v>active</x:v>
      </x:c>
      <x:c r="F258" s="7" t="str">
        <x:v>2026-09-08</x:v>
      </x:c>
      <x:c r="G258" s="7" t="str">
        <x:v>2026-10-08</x:v>
      </x:c>
      <x:c r="H258" s="7" t="n">
        <x:v>3</x:v>
      </x:c>
      <x:c r="I258" s="7" t="n">
        <x:v>6</x:v>
      </x:c>
      <x:c r="J258" s="7" t="n">
        <x:v>5</x:v>
      </x:c>
      <x:c r="K258" s="7" t="str">
        <x:v>unverified-denominator</x:v>
      </x:c>
      <x:c r="L258" s="7" t="d">
        <x:v>2026-09-16T05:12:38.111Z</x:v>
      </x:c>
      <x:c r="M258" s="7" t="str">
        <x:v>https://apm.activecommunities.com/portlandparks/Activity_Search/epcc---goldfish/208129?locale=en-US</x:v>
      </x:c>
    </x:row>
    <x:row r="259" ht="38" customHeight="1">
      <x:c r="A259" s="8" t="str">
        <x:v>208183</x:v>
      </x:c>
      <x:c r="B259" s="11" t="str">
        <x:v>EPCC - Goldfish</x:v>
      </x:c>
      <x:c r="C259" s="11" t="str">
        <x:v>East Portland Indoor Pool</x:v>
      </x:c>
      <x:c r="D259" s="11" t="str">
        <x:v>Aquatics - Lessons</x:v>
      </x:c>
      <x:c r="E259" s="8" t="str">
        <x:v>future</x:v>
      </x:c>
      <x:c r="F259" s="8" t="str">
        <x:v>2026-11-17</x:v>
      </x:c>
      <x:c r="G259" s="8" t="str">
        <x:v>2026-12-10</x:v>
      </x:c>
      <x:c r="H259" s="8" t="n">
        <x:v>0</x:v>
      </x:c>
      <x:c r="I259" s="8"/>
      <x:c r="J259" s="8" t="n">
        <x:v>5</x:v>
      </x:c>
      <x:c r="K259" s="8" t="str">
        <x:v>unverified-denominator</x:v>
      </x:c>
      <x:c r="L259" s="8" t="d">
        <x:v>2026-09-16T05:12:38.111Z</x:v>
      </x:c>
      <x:c r="M259" s="8" t="str">
        <x:v>https://apm.activecommunities.com/portlandparks/Activity_Search/epcc---goldfish/208183?locale=en-US</x:v>
      </x:c>
    </x:row>
    <x:row r="260" ht="38" customHeight="1">
      <x:c r="A260" s="7" t="str">
        <x:v>208166</x:v>
      </x:c>
      <x:c r="B260" s="12" t="str">
        <x:v>EPCC - Goldfish</x:v>
      </x:c>
      <x:c r="C260" s="12" t="str">
        <x:v>East Portland Indoor Pool</x:v>
      </x:c>
      <x:c r="D260" s="12" t="str">
        <x:v>Aquatics - Lessons</x:v>
      </x:c>
      <x:c r="E260" s="7" t="str">
        <x:v>future</x:v>
      </x:c>
      <x:c r="F260" s="7" t="str">
        <x:v>2026-11-17</x:v>
      </x:c>
      <x:c r="G260" s="7" t="str">
        <x:v>2026-12-10</x:v>
      </x:c>
      <x:c r="H260" s="7" t="n">
        <x:v>0</x:v>
      </x:c>
      <x:c r="I260" s="7"/>
      <x:c r="J260" s="7" t="n">
        <x:v>5</x:v>
      </x:c>
      <x:c r="K260" s="7" t="str">
        <x:v>unverified-denominator</x:v>
      </x:c>
      <x:c r="L260" s="7" t="d">
        <x:v>2026-09-16T05:12:38.111Z</x:v>
      </x:c>
      <x:c r="M260" s="7" t="str">
        <x:v>https://apm.activecommunities.com/portlandparks/Activity_Search/epcc---goldfish/208166?locale=en-US</x:v>
      </x:c>
    </x:row>
    <x:row r="261" ht="38" customHeight="1">
      <x:c r="A261" s="8" t="str">
        <x:v>208106</x:v>
      </x:c>
      <x:c r="B261" s="11" t="str">
        <x:v>EPCC - Goldfish</x:v>
      </x:c>
      <x:c r="C261" s="11" t="str">
        <x:v>East Portland Indoor Pool</x:v>
      </x:c>
      <x:c r="D261" s="11" t="str">
        <x:v>Aquatics - Lessons</x:v>
      </x:c>
      <x:c r="E261" s="8" t="str">
        <x:v>active</x:v>
      </x:c>
      <x:c r="F261" s="8" t="str">
        <x:v>2026-09-09</x:v>
      </x:c>
      <x:c r="G261" s="8" t="str">
        <x:v>2026-10-07</x:v>
      </x:c>
      <x:c r="H261" s="8" t="n">
        <x:v>5</x:v>
      </x:c>
      <x:c r="I261" s="8" t="n">
        <x:v>9</x:v>
      </x:c>
      <x:c r="J261" s="8" t="n">
        <x:v>5</x:v>
      </x:c>
      <x:c r="K261" s="8" t="str">
        <x:v>unverified-denominator</x:v>
      </x:c>
      <x:c r="L261" s="8" t="d">
        <x:v>2026-09-16T05:12:38.111Z</x:v>
      </x:c>
      <x:c r="M261" s="8" t="str">
        <x:v>https://apm.activecommunities.com/portlandparks/Activity_Search/epcc---goldfish/208106?locale=en-US</x:v>
      </x:c>
    </x:row>
    <x:row r="262" ht="38" customHeight="1">
      <x:c r="A262" s="7" t="str">
        <x:v>208107</x:v>
      </x:c>
      <x:c r="B262" s="12" t="str">
        <x:v>EPCC - Goldfish</x:v>
      </x:c>
      <x:c r="C262" s="12" t="str">
        <x:v>East Portland Indoor Pool</x:v>
      </x:c>
      <x:c r="D262" s="12" t="str">
        <x:v>Aquatics - Lessons</x:v>
      </x:c>
      <x:c r="E262" s="7" t="str">
        <x:v>active</x:v>
      </x:c>
      <x:c r="F262" s="7" t="str">
        <x:v>2026-09-09</x:v>
      </x:c>
      <x:c r="G262" s="7" t="str">
        <x:v>2026-10-07</x:v>
      </x:c>
      <x:c r="H262" s="7" t="n">
        <x:v>5</x:v>
      </x:c>
      <x:c r="I262" s="7" t="n">
        <x:v>5</x:v>
      </x:c>
      <x:c r="J262" s="7" t="n">
        <x:v>5</x:v>
      </x:c>
      <x:c r="K262" s="7" t="str">
        <x:v>unverified-denominator</x:v>
      </x:c>
      <x:c r="L262" s="7" t="d">
        <x:v>2026-09-16T05:12:38.111Z</x:v>
      </x:c>
      <x:c r="M262" s="7" t="str">
        <x:v>https://apm.activecommunities.com/portlandparks/Activity_Search/epcc---goldfish/208107?locale=en-US</x:v>
      </x:c>
    </x:row>
    <x:row r="263" ht="38" customHeight="1">
      <x:c r="A263" s="8" t="str">
        <x:v>208102</x:v>
      </x:c>
      <x:c r="B263" s="11" t="str">
        <x:v>EPCC - Goldfish</x:v>
      </x:c>
      <x:c r="C263" s="11" t="str">
        <x:v>East Portland Indoor Pool</x:v>
      </x:c>
      <x:c r="D263" s="11" t="str">
        <x:v>Aquatics - Lessons</x:v>
      </x:c>
      <x:c r="E263" s="8" t="str">
        <x:v>future</x:v>
      </x:c>
      <x:c r="F263" s="8" t="str">
        <x:v>2026-11-17</x:v>
      </x:c>
      <x:c r="G263" s="8" t="str">
        <x:v>2026-12-10</x:v>
      </x:c>
      <x:c r="H263" s="8" t="n">
        <x:v>0</x:v>
      </x:c>
      <x:c r="I263" s="8"/>
      <x:c r="J263" s="8" t="n">
        <x:v>5</x:v>
      </x:c>
      <x:c r="K263" s="8" t="str">
        <x:v>unverified-denominator</x:v>
      </x:c>
      <x:c r="L263" s="8" t="d">
        <x:v>2026-09-16T05:12:38.111Z</x:v>
      </x:c>
      <x:c r="M263" s="8" t="str">
        <x:v>https://apm.activecommunities.com/portlandparks/Activity_Search/epcc---goldfish/208102?locale=en-US</x:v>
      </x:c>
    </x:row>
    <x:row r="264" ht="38" customHeight="1">
      <x:c r="A264" s="7" t="str">
        <x:v>207692</x:v>
      </x:c>
      <x:c r="B264" s="12" t="str">
        <x:v>EPCC - Goldfish</x:v>
      </x:c>
      <x:c r="C264" s="12" t="str">
        <x:v>East Portland Indoor Pool</x:v>
      </x:c>
      <x:c r="D264" s="12" t="str">
        <x:v>Aquatics - Lessons</x:v>
      </x:c>
      <x:c r="E264" s="7" t="str">
        <x:v>active</x:v>
      </x:c>
      <x:c r="F264" s="7" t="str">
        <x:v>2026-09-08</x:v>
      </x:c>
      <x:c r="G264" s="7" t="str">
        <x:v>2026-10-08</x:v>
      </x:c>
      <x:c r="H264" s="7" t="n">
        <x:v>4</x:v>
      </x:c>
      <x:c r="I264" s="7" t="n">
        <x:v>3</x:v>
      </x:c>
      <x:c r="J264" s="7" t="n">
        <x:v>5</x:v>
      </x:c>
      <x:c r="K264" s="7" t="str">
        <x:v>unverified-denominator</x:v>
      </x:c>
      <x:c r="L264" s="7" t="d">
        <x:v>2026-09-16T05:12:38.111Z</x:v>
      </x:c>
      <x:c r="M264" s="7" t="str">
        <x:v>https://apm.activecommunities.com/portlandparks/Activity_Search/epcc---goldfish/207692?locale=en-US</x:v>
      </x:c>
    </x:row>
    <x:row r="265" ht="38" customHeight="1">
      <x:c r="A265" s="8" t="str">
        <x:v>207697</x:v>
      </x:c>
      <x:c r="B265" s="11" t="str">
        <x:v>EPCC - Goldfish</x:v>
      </x:c>
      <x:c r="C265" s="11" t="str">
        <x:v>East Portland Indoor Pool</x:v>
      </x:c>
      <x:c r="D265" s="11" t="str">
        <x:v>Aquatics - Lessons</x:v>
      </x:c>
      <x:c r="E265" s="8" t="str">
        <x:v>future</x:v>
      </x:c>
      <x:c r="F265" s="8" t="str">
        <x:v>2026-11-16</x:v>
      </x:c>
      <x:c r="G265" s="8" t="str">
        <x:v>2026-12-09</x:v>
      </x:c>
      <x:c r="H265" s="8" t="n">
        <x:v>0</x:v>
      </x:c>
      <x:c r="I265" s="8"/>
      <x:c r="J265" s="8" t="n">
        <x:v>5</x:v>
      </x:c>
      <x:c r="K265" s="8" t="str">
        <x:v>unverified-denominator</x:v>
      </x:c>
      <x:c r="L265" s="8" t="d">
        <x:v>2026-09-16T05:12:38.111Z</x:v>
      </x:c>
      <x:c r="M265" s="8" t="str">
        <x:v>https://apm.activecommunities.com/portlandparks/Activity_Search/epcc---goldfish/207697?locale=en-US</x:v>
      </x:c>
    </x:row>
    <x:row r="266" ht="38" customHeight="1">
      <x:c r="A266" s="7" t="str">
        <x:v>207686</x:v>
      </x:c>
      <x:c r="B266" s="12" t="str">
        <x:v>EPCC - Goldfish</x:v>
      </x:c>
      <x:c r="C266" s="12" t="str">
        <x:v>East Portland Indoor Pool</x:v>
      </x:c>
      <x:c r="D266" s="12" t="str">
        <x:v>Aquatics - Lessons</x:v>
      </x:c>
      <x:c r="E266" s="7" t="str">
        <x:v>active</x:v>
      </x:c>
      <x:c r="F266" s="7" t="str">
        <x:v>2026-09-09</x:v>
      </x:c>
      <x:c r="G266" s="7" t="str">
        <x:v>2026-10-07</x:v>
      </x:c>
      <x:c r="H266" s="7" t="n">
        <x:v>5</x:v>
      </x:c>
      <x:c r="I266" s="7" t="n">
        <x:v>2</x:v>
      </x:c>
      <x:c r="J266" s="7" t="n">
        <x:v>5</x:v>
      </x:c>
      <x:c r="K266" s="7" t="str">
        <x:v>unverified-denominator</x:v>
      </x:c>
      <x:c r="L266" s="7" t="d">
        <x:v>2026-09-16T05:12:38.111Z</x:v>
      </x:c>
      <x:c r="M266" s="7" t="str">
        <x:v>https://apm.activecommunities.com/portlandparks/Activity_Search/epcc---goldfish/207686?locale=en-US</x:v>
      </x:c>
    </x:row>
    <x:row r="267" ht="38" customHeight="1">
      <x:c r="A267" s="8" t="str">
        <x:v>209061</x:v>
      </x:c>
      <x:c r="B267" s="11" t="str">
        <x:v>EPCC - Goldfish</x:v>
      </x:c>
      <x:c r="C267" s="11" t="str">
        <x:v>East Portland Indoor Pool</x:v>
      </x:c>
      <x:c r="D267" s="11" t="str">
        <x:v>Aquatics - Lessons</x:v>
      </x:c>
      <x:c r="E267" s="8" t="str">
        <x:v>active</x:v>
      </x:c>
      <x:c r="F267" s="8" t="str">
        <x:v>2026-09-08</x:v>
      </x:c>
      <x:c r="G267" s="8" t="str">
        <x:v>2026-10-08</x:v>
      </x:c>
      <x:c r="H267" s="8" t="n">
        <x:v>5</x:v>
      </x:c>
      <x:c r="I267" s="8" t="n">
        <x:v>2</x:v>
      </x:c>
      <x:c r="J267" s="8" t="n">
        <x:v>5</x:v>
      </x:c>
      <x:c r="K267" s="8" t="str">
        <x:v>unverified-denominator</x:v>
      </x:c>
      <x:c r="L267" s="8" t="d">
        <x:v>2026-09-16T05:12:38.111Z</x:v>
      </x:c>
      <x:c r="M267" s="8" t="str">
        <x:v>https://apm.activecommunities.com/portlandparks/Activity_Search/epcc---goldfish/209061?locale=en-US</x:v>
      </x:c>
    </x:row>
    <x:row r="268" ht="38" customHeight="1">
      <x:c r="A268" s="7" t="str">
        <x:v>209171</x:v>
      </x:c>
      <x:c r="B268" s="12" t="str">
        <x:v>EPCC - Goldfish</x:v>
      </x:c>
      <x:c r="C268" s="12" t="str">
        <x:v>East Portland Indoor Pool</x:v>
      </x:c>
      <x:c r="D268" s="12" t="str">
        <x:v>Aquatics - Lessons</x:v>
      </x:c>
      <x:c r="E268" s="7" t="str">
        <x:v>active</x:v>
      </x:c>
      <x:c r="F268" s="7" t="str">
        <x:v>2026-09-08</x:v>
      </x:c>
      <x:c r="G268" s="7" t="str">
        <x:v>2026-10-08</x:v>
      </x:c>
      <x:c r="H268" s="7" t="n">
        <x:v>5</x:v>
      </x:c>
      <x:c r="I268" s="7"/>
      <x:c r="J268" s="7" t="n">
        <x:v>5</x:v>
      </x:c>
      <x:c r="K268" s="7" t="str">
        <x:v>unverified-denominator</x:v>
      </x:c>
      <x:c r="L268" s="7" t="d">
        <x:v>2026-09-16T05:12:38.111Z</x:v>
      </x:c>
      <x:c r="M268" s="7" t="str">
        <x:v>https://apm.activecommunities.com/portlandparks/Activity_Search/epcc---goldfish/209171?locale=en-US</x:v>
      </x:c>
    </x:row>
    <x:row r="269" ht="38" customHeight="1">
      <x:c r="A269" s="8" t="str">
        <x:v>209177</x:v>
      </x:c>
      <x:c r="B269" s="11" t="str">
        <x:v>EPCC - Goldfish</x:v>
      </x:c>
      <x:c r="C269" s="11" t="str">
        <x:v>East Portland Indoor Pool</x:v>
      </x:c>
      <x:c r="D269" s="11" t="str">
        <x:v>Aquatics - Lessons</x:v>
      </x:c>
      <x:c r="E269" s="8" t="str">
        <x:v>active</x:v>
      </x:c>
      <x:c r="F269" s="8" t="str">
        <x:v>2026-09-09</x:v>
      </x:c>
      <x:c r="G269" s="8" t="str">
        <x:v>2026-10-07</x:v>
      </x:c>
      <x:c r="H269" s="8" t="n">
        <x:v>5</x:v>
      </x:c>
      <x:c r="I269" s="8" t="n">
        <x:v>1</x:v>
      </x:c>
      <x:c r="J269" s="8" t="n">
        <x:v>5</x:v>
      </x:c>
      <x:c r="K269" s="8" t="str">
        <x:v>unverified-denominator</x:v>
      </x:c>
      <x:c r="L269" s="8" t="d">
        <x:v>2026-09-16T05:12:38.111Z</x:v>
      </x:c>
      <x:c r="M269" s="8" t="str">
        <x:v>https://apm.activecommunities.com/portlandparks/Activity_Search/epcc---goldfish/209177?locale=en-US</x:v>
      </x:c>
    </x:row>
    <x:row r="270" ht="38" customHeight="1">
      <x:c r="A270" s="7" t="str">
        <x:v>209063</x:v>
      </x:c>
      <x:c r="B270" s="12" t="str">
        <x:v>EPCC - Otter</x:v>
      </x:c>
      <x:c r="C270" s="12" t="str">
        <x:v>East Portland Indoor Pool</x:v>
      </x:c>
      <x:c r="D270" s="12" t="str">
        <x:v>Aquatics - Lessons</x:v>
      </x:c>
      <x:c r="E270" s="7" t="str">
        <x:v>active</x:v>
      </x:c>
      <x:c r="F270" s="7" t="str">
        <x:v>2026-09-08</x:v>
      </x:c>
      <x:c r="G270" s="7" t="str">
        <x:v>2026-10-08</x:v>
      </x:c>
      <x:c r="H270" s="7" t="n">
        <x:v>6</x:v>
      </x:c>
      <x:c r="I270" s="7" t="n">
        <x:v>2</x:v>
      </x:c>
      <x:c r="J270" s="7" t="n">
        <x:v>6</x:v>
      </x:c>
      <x:c r="K270" s="7" t="str">
        <x:v>unverified-denominator</x:v>
      </x:c>
      <x:c r="L270" s="7" t="d">
        <x:v>2026-09-16T05:12:38.111Z</x:v>
      </x:c>
      <x:c r="M270" s="7" t="str">
        <x:v>https://apm.activecommunities.com/portlandparks/Activity_Search/epcc---otter/209063?locale=en-US</x:v>
      </x:c>
    </x:row>
    <x:row r="271" ht="38" customHeight="1">
      <x:c r="A271" s="8" t="str">
        <x:v>208109</x:v>
      </x:c>
      <x:c r="B271" s="11" t="str">
        <x:v>EPCC - Otter</x:v>
      </x:c>
      <x:c r="C271" s="11" t="str">
        <x:v>East Portland Indoor Pool</x:v>
      </x:c>
      <x:c r="D271" s="11" t="str">
        <x:v>Aquatics - Lessons</x:v>
      </x:c>
      <x:c r="E271" s="8" t="str">
        <x:v>active</x:v>
      </x:c>
      <x:c r="F271" s="8" t="str">
        <x:v>2026-09-09</x:v>
      </x:c>
      <x:c r="G271" s="8" t="str">
        <x:v>2026-10-07</x:v>
      </x:c>
      <x:c r="H271" s="8" t="n">
        <x:v>6</x:v>
      </x:c>
      <x:c r="I271" s="8" t="n">
        <x:v>8</x:v>
      </x:c>
      <x:c r="J271" s="8" t="n">
        <x:v>6</x:v>
      </x:c>
      <x:c r="K271" s="8" t="str">
        <x:v>unverified-denominator</x:v>
      </x:c>
      <x:c r="L271" s="8" t="d">
        <x:v>2026-09-16T05:12:38.111Z</x:v>
      </x:c>
      <x:c r="M271" s="8" t="str">
        <x:v>https://apm.activecommunities.com/portlandparks/Activity_Search/epcc---otter/208109?locale=en-US</x:v>
      </x:c>
    </x:row>
    <x:row r="272" ht="38" customHeight="1">
      <x:c r="A272" s="7" t="str">
        <x:v>208120</x:v>
      </x:c>
      <x:c r="B272" s="12" t="str">
        <x:v>EPCC - Otter</x:v>
      </x:c>
      <x:c r="C272" s="12" t="str">
        <x:v>East Portland Indoor Pool</x:v>
      </x:c>
      <x:c r="D272" s="12" t="str">
        <x:v>Aquatics - Lessons</x:v>
      </x:c>
      <x:c r="E272" s="7" t="str">
        <x:v>active</x:v>
      </x:c>
      <x:c r="F272" s="7" t="str">
        <x:v>2026-09-09</x:v>
      </x:c>
      <x:c r="G272" s="7" t="str">
        <x:v>2026-10-07</x:v>
      </x:c>
      <x:c r="H272" s="7" t="n">
        <x:v>5</x:v>
      </x:c>
      <x:c r="I272" s="7" t="n">
        <x:v>6</x:v>
      </x:c>
      <x:c r="J272" s="7" t="n">
        <x:v>6</x:v>
      </x:c>
      <x:c r="K272" s="7" t="str">
        <x:v>unverified-denominator</x:v>
      </x:c>
      <x:c r="L272" s="7" t="d">
        <x:v>2026-09-16T05:12:38.111Z</x:v>
      </x:c>
      <x:c r="M272" s="7" t="str">
        <x:v>https://apm.activecommunities.com/portlandparks/Activity_Search/epcc---otter/208120?locale=en-US</x:v>
      </x:c>
    </x:row>
    <x:row r="273" ht="38" customHeight="1">
      <x:c r="A273" s="8" t="str">
        <x:v>208121</x:v>
      </x:c>
      <x:c r="B273" s="11" t="str">
        <x:v>EPCC - Otter</x:v>
      </x:c>
      <x:c r="C273" s="11" t="str">
        <x:v>East Portland Indoor Pool</x:v>
      </x:c>
      <x:c r="D273" s="11" t="str">
        <x:v>Aquatics - Lessons</x:v>
      </x:c>
      <x:c r="E273" s="8" t="str">
        <x:v>active</x:v>
      </x:c>
      <x:c r="F273" s="8" t="str">
        <x:v>2026-09-09</x:v>
      </x:c>
      <x:c r="G273" s="8" t="str">
        <x:v>2026-10-07</x:v>
      </x:c>
      <x:c r="H273" s="8" t="n">
        <x:v>6</x:v>
      </x:c>
      <x:c r="I273" s="8" t="n">
        <x:v>6</x:v>
      </x:c>
      <x:c r="J273" s="8" t="n">
        <x:v>6</x:v>
      </x:c>
      <x:c r="K273" s="8" t="str">
        <x:v>unverified-denominator</x:v>
      </x:c>
      <x:c r="L273" s="8" t="d">
        <x:v>2026-09-16T05:12:38.111Z</x:v>
      </x:c>
      <x:c r="M273" s="8" t="str">
        <x:v>https://apm.activecommunities.com/portlandparks/Activity_Search/epcc---otter/208121?locale=en-US</x:v>
      </x:c>
    </x:row>
    <x:row r="274" ht="38" customHeight="1">
      <x:c r="A274" s="7" t="str">
        <x:v>208160</x:v>
      </x:c>
      <x:c r="B274" s="12" t="str">
        <x:v>EPCC - Otter</x:v>
      </x:c>
      <x:c r="C274" s="12" t="str">
        <x:v>East Portland Indoor Pool</x:v>
      </x:c>
      <x:c r="D274" s="12" t="str">
        <x:v>Aquatics - Lessons</x:v>
      </x:c>
      <x:c r="E274" s="7" t="str">
        <x:v>future</x:v>
      </x:c>
      <x:c r="F274" s="7" t="str">
        <x:v>2026-11-16</x:v>
      </x:c>
      <x:c r="G274" s="7" t="str">
        <x:v>2026-12-09</x:v>
      </x:c>
      <x:c r="H274" s="7" t="n">
        <x:v>0</x:v>
      </x:c>
      <x:c r="I274" s="7"/>
      <x:c r="J274" s="7" t="n">
        <x:v>6</x:v>
      </x:c>
      <x:c r="K274" s="7" t="str">
        <x:v>unverified-denominator</x:v>
      </x:c>
      <x:c r="L274" s="7" t="d">
        <x:v>2026-09-16T05:12:38.111Z</x:v>
      </x:c>
      <x:c r="M274" s="7" t="str">
        <x:v>https://apm.activecommunities.com/portlandparks/Activity_Search/epcc---otter/208160?locale=en-US</x:v>
      </x:c>
    </x:row>
    <x:row r="275" ht="38" customHeight="1">
      <x:c r="A275" s="8" t="str">
        <x:v>208161</x:v>
      </x:c>
      <x:c r="B275" s="11" t="str">
        <x:v>EPCC - Otter</x:v>
      </x:c>
      <x:c r="C275" s="11" t="str">
        <x:v>East Portland Indoor Pool</x:v>
      </x:c>
      <x:c r="D275" s="11" t="str">
        <x:v>Aquatics - Lessons</x:v>
      </x:c>
      <x:c r="E275" s="8" t="str">
        <x:v>future</x:v>
      </x:c>
      <x:c r="F275" s="8" t="str">
        <x:v>2026-11-16</x:v>
      </x:c>
      <x:c r="G275" s="8" t="str">
        <x:v>2026-12-09</x:v>
      </x:c>
      <x:c r="H275" s="8" t="n">
        <x:v>0</x:v>
      </x:c>
      <x:c r="I275" s="8"/>
      <x:c r="J275" s="8" t="n">
        <x:v>6</x:v>
      </x:c>
      <x:c r="K275" s="8" t="str">
        <x:v>unverified-denominator</x:v>
      </x:c>
      <x:c r="L275" s="8" t="d">
        <x:v>2026-09-16T05:12:38.111Z</x:v>
      </x:c>
      <x:c r="M275" s="8" t="str">
        <x:v>https://apm.activecommunities.com/portlandparks/Activity_Search/epcc---otter/208161?locale=en-US</x:v>
      </x:c>
    </x:row>
    <x:row r="276" ht="38" customHeight="1">
      <x:c r="A276" s="7" t="str">
        <x:v>208137</x:v>
      </x:c>
      <x:c r="B276" s="12" t="str">
        <x:v>EPCC - Otter</x:v>
      </x:c>
      <x:c r="C276" s="12" t="str">
        <x:v>East Portland Indoor Pool</x:v>
      </x:c>
      <x:c r="D276" s="12" t="str">
        <x:v>Aquatics - Lessons</x:v>
      </x:c>
      <x:c r="E276" s="7" t="str">
        <x:v>active</x:v>
      </x:c>
      <x:c r="F276" s="7" t="str">
        <x:v>2026-09-08</x:v>
      </x:c>
      <x:c r="G276" s="7" t="str">
        <x:v>2026-10-08</x:v>
      </x:c>
      <x:c r="H276" s="7" t="n">
        <x:v>6</x:v>
      </x:c>
      <x:c r="I276" s="7" t="n">
        <x:v>4</x:v>
      </x:c>
      <x:c r="J276" s="7" t="n">
        <x:v>6</x:v>
      </x:c>
      <x:c r="K276" s="7" t="str">
        <x:v>unverified-denominator</x:v>
      </x:c>
      <x:c r="L276" s="7" t="d">
        <x:v>2026-09-16T05:12:38.111Z</x:v>
      </x:c>
      <x:c r="M276" s="7" t="str">
        <x:v>https://apm.activecommunities.com/portlandparks/Activity_Search/epcc---otter/208137?locale=en-US</x:v>
      </x:c>
    </x:row>
    <x:row r="277" ht="38" customHeight="1">
      <x:c r="A277" s="8" t="str">
        <x:v>208145</x:v>
      </x:c>
      <x:c r="B277" s="11" t="str">
        <x:v>EPCC - Otter</x:v>
      </x:c>
      <x:c r="C277" s="11" t="str">
        <x:v>East Portland Indoor Pool</x:v>
      </x:c>
      <x:c r="D277" s="11" t="str">
        <x:v>Aquatics - Lessons</x:v>
      </x:c>
      <x:c r="E277" s="8" t="str">
        <x:v>future</x:v>
      </x:c>
      <x:c r="F277" s="8" t="str">
        <x:v>2026-11-16</x:v>
      </x:c>
      <x:c r="G277" s="8" t="str">
        <x:v>2026-12-09</x:v>
      </x:c>
      <x:c r="H277" s="8" t="n">
        <x:v>0</x:v>
      </x:c>
      <x:c r="I277" s="8"/>
      <x:c r="J277" s="8" t="n">
        <x:v>6</x:v>
      </x:c>
      <x:c r="K277" s="8" t="str">
        <x:v>unverified-denominator</x:v>
      </x:c>
      <x:c r="L277" s="8" t="d">
        <x:v>2026-09-16T05:12:38.111Z</x:v>
      </x:c>
      <x:c r="M277" s="8" t="str">
        <x:v>https://apm.activecommunities.com/portlandparks/Activity_Search/epcc---otter/208145?locale=en-US</x:v>
      </x:c>
    </x:row>
    <x:row r="278" ht="38" customHeight="1">
      <x:c r="A278" s="7" t="str">
        <x:v>208171</x:v>
      </x:c>
      <x:c r="B278" s="12" t="str">
        <x:v>EPCC - Otter</x:v>
      </x:c>
      <x:c r="C278" s="12" t="str">
        <x:v>East Portland Indoor Pool</x:v>
      </x:c>
      <x:c r="D278" s="12" t="str">
        <x:v>Aquatics - Lessons</x:v>
      </x:c>
      <x:c r="E278" s="7" t="str">
        <x:v>future</x:v>
      </x:c>
      <x:c r="F278" s="7" t="str">
        <x:v>2026-11-17</x:v>
      </x:c>
      <x:c r="G278" s="7" t="str">
        <x:v>2026-12-10</x:v>
      </x:c>
      <x:c r="H278" s="7" t="n">
        <x:v>0</x:v>
      </x:c>
      <x:c r="I278" s="7"/>
      <x:c r="J278" s="7" t="n">
        <x:v>6</x:v>
      </x:c>
      <x:c r="K278" s="7" t="str">
        <x:v>unverified-denominator</x:v>
      </x:c>
      <x:c r="L278" s="7" t="d">
        <x:v>2026-09-16T05:12:38.111Z</x:v>
      </x:c>
      <x:c r="M278" s="7" t="str">
        <x:v>https://apm.activecommunities.com/portlandparks/Activity_Search/epcc---otter/208171?locale=en-US</x:v>
      </x:c>
    </x:row>
    <x:row r="279" ht="38" customHeight="1">
      <x:c r="A279" s="8" t="str">
        <x:v>208146</x:v>
      </x:c>
      <x:c r="B279" s="11" t="str">
        <x:v>EPCC - Penguin</x:v>
      </x:c>
      <x:c r="C279" s="11" t="str">
        <x:v>East Portland Indoor Pool</x:v>
      </x:c>
      <x:c r="D279" s="11" t="str">
        <x:v>Aquatics - Lessons</x:v>
      </x:c>
      <x:c r="E279" s="8" t="str">
        <x:v>future</x:v>
      </x:c>
      <x:c r="F279" s="8" t="str">
        <x:v>2026-11-16</x:v>
      </x:c>
      <x:c r="G279" s="8" t="str">
        <x:v>2026-12-09</x:v>
      </x:c>
      <x:c r="H279" s="8" t="n">
        <x:v>0</x:v>
      </x:c>
      <x:c r="I279" s="8"/>
      <x:c r="J279" s="8" t="n">
        <x:v>6</x:v>
      </x:c>
      <x:c r="K279" s="8" t="str">
        <x:v>unverified-denominator</x:v>
      </x:c>
      <x:c r="L279" s="8" t="d">
        <x:v>2026-09-16T05:12:38.111Z</x:v>
      </x:c>
      <x:c r="M279" s="8" t="str">
        <x:v>https://apm.activecommunities.com/portlandparks/Activity_Search/epcc---penguin/208146?locale=en-US</x:v>
      </x:c>
    </x:row>
    <x:row r="280" ht="38" customHeight="1">
      <x:c r="A280" s="7" t="str">
        <x:v>208135</x:v>
      </x:c>
      <x:c r="B280" s="12" t="str">
        <x:v>EPCC - Penguin</x:v>
      </x:c>
      <x:c r="C280" s="12" t="str">
        <x:v>East Portland Indoor Pool</x:v>
      </x:c>
      <x:c r="D280" s="12" t="str">
        <x:v>Aquatics - Lessons</x:v>
      </x:c>
      <x:c r="E280" s="7" t="str">
        <x:v>active</x:v>
      </x:c>
      <x:c r="F280" s="7" t="str">
        <x:v>2026-09-08</x:v>
      </x:c>
      <x:c r="G280" s="7" t="str">
        <x:v>2026-10-08</x:v>
      </x:c>
      <x:c r="H280" s="7" t="n">
        <x:v>6</x:v>
      </x:c>
      <x:c r="I280" s="7" t="n">
        <x:v>4</x:v>
      </x:c>
      <x:c r="J280" s="7" t="n">
        <x:v>6</x:v>
      </x:c>
      <x:c r="K280" s="7" t="str">
        <x:v>unverified-denominator</x:v>
      </x:c>
      <x:c r="L280" s="7" t="d">
        <x:v>2026-09-16T05:12:38.111Z</x:v>
      </x:c>
      <x:c r="M280" s="7" t="str">
        <x:v>https://apm.activecommunities.com/portlandparks/Activity_Search/epcc---penguin/208135?locale=en-US</x:v>
      </x:c>
    </x:row>
    <x:row r="281" ht="38" customHeight="1">
      <x:c r="A281" s="8" t="str">
        <x:v>208136</x:v>
      </x:c>
      <x:c r="B281" s="11" t="str">
        <x:v>EPCC - Penguin</x:v>
      </x:c>
      <x:c r="C281" s="11" t="str">
        <x:v>East Portland Indoor Pool</x:v>
      </x:c>
      <x:c r="D281" s="11" t="str">
        <x:v>Aquatics - Lessons</x:v>
      </x:c>
      <x:c r="E281" s="8" t="str">
        <x:v>active</x:v>
      </x:c>
      <x:c r="F281" s="8" t="str">
        <x:v>2026-09-08</x:v>
      </x:c>
      <x:c r="G281" s="8" t="str">
        <x:v>2026-10-08</x:v>
      </x:c>
      <x:c r="H281" s="8" t="n">
        <x:v>5</x:v>
      </x:c>
      <x:c r="I281" s="8" t="n">
        <x:v>5</x:v>
      </x:c>
      <x:c r="J281" s="8" t="n">
        <x:v>6</x:v>
      </x:c>
      <x:c r="K281" s="8" t="str">
        <x:v>unverified-denominator</x:v>
      </x:c>
      <x:c r="L281" s="8" t="d">
        <x:v>2026-09-16T05:12:38.111Z</x:v>
      </x:c>
      <x:c r="M281" s="8" t="str">
        <x:v>https://apm.activecommunities.com/portlandparks/Activity_Search/epcc---penguin/208136?locale=en-US</x:v>
      </x:c>
    </x:row>
    <x:row r="282" ht="38" customHeight="1">
      <x:c r="A282" s="7" t="str">
        <x:v>208170</x:v>
      </x:c>
      <x:c r="B282" s="12" t="str">
        <x:v>EPCC - Penguin</x:v>
      </x:c>
      <x:c r="C282" s="12" t="str">
        <x:v>East Portland Indoor Pool</x:v>
      </x:c>
      <x:c r="D282" s="12" t="str">
        <x:v>Aquatics - Lessons</x:v>
      </x:c>
      <x:c r="E282" s="7" t="str">
        <x:v>future</x:v>
      </x:c>
      <x:c r="F282" s="7" t="str">
        <x:v>2026-11-17</x:v>
      </x:c>
      <x:c r="G282" s="7" t="str">
        <x:v>2026-12-10</x:v>
      </x:c>
      <x:c r="H282" s="7" t="n">
        <x:v>0</x:v>
      </x:c>
      <x:c r="I282" s="7"/>
      <x:c r="J282" s="7" t="n">
        <x:v>6</x:v>
      </x:c>
      <x:c r="K282" s="7" t="str">
        <x:v>unverified-denominator</x:v>
      </x:c>
      <x:c r="L282" s="7" t="d">
        <x:v>2026-09-16T05:12:38.111Z</x:v>
      </x:c>
      <x:c r="M282" s="7" t="str">
        <x:v>https://apm.activecommunities.com/portlandparks/Activity_Search/epcc---penguin/208170?locale=en-US</x:v>
      </x:c>
    </x:row>
    <x:row r="283" ht="38" customHeight="1">
      <x:c r="A283" s="8" t="str">
        <x:v>208182</x:v>
      </x:c>
      <x:c r="B283" s="11" t="str">
        <x:v>EPCC - Penguin</x:v>
      </x:c>
      <x:c r="C283" s="11" t="str">
        <x:v>East Portland Indoor Pool</x:v>
      </x:c>
      <x:c r="D283" s="11" t="str">
        <x:v>Aquatics - Lessons</x:v>
      </x:c>
      <x:c r="E283" s="8" t="str">
        <x:v>future</x:v>
      </x:c>
      <x:c r="F283" s="8" t="str">
        <x:v>2026-11-17</x:v>
      </x:c>
      <x:c r="G283" s="8" t="str">
        <x:v>2026-12-10</x:v>
      </x:c>
      <x:c r="H283" s="8" t="n">
        <x:v>0</x:v>
      </x:c>
      <x:c r="I283" s="8"/>
      <x:c r="J283" s="8" t="n">
        <x:v>6</x:v>
      </x:c>
      <x:c r="K283" s="8" t="str">
        <x:v>unverified-denominator</x:v>
      </x:c>
      <x:c r="L283" s="8" t="d">
        <x:v>2026-09-16T05:12:38.111Z</x:v>
      </x:c>
      <x:c r="M283" s="8" t="str">
        <x:v>https://apm.activecommunities.com/portlandparks/Activity_Search/epcc---penguin/208182?locale=en-US</x:v>
      </x:c>
    </x:row>
    <x:row r="284" ht="38" customHeight="1">
      <x:c r="A284" s="7" t="str">
        <x:v>208110</x:v>
      </x:c>
      <x:c r="B284" s="12" t="str">
        <x:v>EPCC - Penguin</x:v>
      </x:c>
      <x:c r="C284" s="12" t="str">
        <x:v>East Portland Indoor Pool</x:v>
      </x:c>
      <x:c r="D284" s="12" t="str">
        <x:v>Aquatics - Lessons</x:v>
      </x:c>
      <x:c r="E284" s="7" t="str">
        <x:v>active</x:v>
      </x:c>
      <x:c r="F284" s="7" t="str">
        <x:v>2026-09-09</x:v>
      </x:c>
      <x:c r="G284" s="7" t="str">
        <x:v>2026-10-07</x:v>
      </x:c>
      <x:c r="H284" s="7" t="n">
        <x:v>6</x:v>
      </x:c>
      <x:c r="I284" s="7" t="n">
        <x:v>8</x:v>
      </x:c>
      <x:c r="J284" s="7" t="n">
        <x:v>6</x:v>
      </x:c>
      <x:c r="K284" s="7" t="str">
        <x:v>unverified-denominator</x:v>
      </x:c>
      <x:c r="L284" s="7" t="d">
        <x:v>2026-09-16T05:12:38.111Z</x:v>
      </x:c>
      <x:c r="M284" s="7" t="str">
        <x:v>https://apm.activecommunities.com/portlandparks/Activity_Search/epcc---penguin/208110?locale=en-US</x:v>
      </x:c>
    </x:row>
    <x:row r="285" ht="38" customHeight="1">
      <x:c r="A285" s="8" t="str">
        <x:v>209070</x:v>
      </x:c>
      <x:c r="B285" s="11" t="str">
        <x:v>EPCC - Penguin</x:v>
      </x:c>
      <x:c r="C285" s="11" t="str">
        <x:v>East Portland Indoor Pool</x:v>
      </x:c>
      <x:c r="D285" s="11" t="str">
        <x:v>Aquatics - Lessons</x:v>
      </x:c>
      <x:c r="E285" s="8" t="str">
        <x:v>active</x:v>
      </x:c>
      <x:c r="F285" s="8" t="str">
        <x:v>2026-09-08</x:v>
      </x:c>
      <x:c r="G285" s="8" t="str">
        <x:v>2026-10-08</x:v>
      </x:c>
      <x:c r="H285" s="8" t="n">
        <x:v>6</x:v>
      </x:c>
      <x:c r="I285" s="8"/>
      <x:c r="J285" s="8" t="n">
        <x:v>6</x:v>
      </x:c>
      <x:c r="K285" s="8" t="str">
        <x:v>unverified-denominator</x:v>
      </x:c>
      <x:c r="L285" s="8" t="d">
        <x:v>2026-09-16T05:12:38.111Z</x:v>
      </x:c>
      <x:c r="M285" s="8" t="str">
        <x:v>https://apm.activecommunities.com/portlandparks/Activity_Search/epcc---penguin/209070?locale=en-US</x:v>
      </x:c>
    </x:row>
    <x:row r="286" ht="38" customHeight="1">
      <x:c r="A286" s="7" t="str">
        <x:v>209172</x:v>
      </x:c>
      <x:c r="B286" s="12" t="str">
        <x:v>EPCC - Penguin</x:v>
      </x:c>
      <x:c r="C286" s="12" t="str">
        <x:v>East Portland Indoor Pool</x:v>
      </x:c>
      <x:c r="D286" s="12" t="str">
        <x:v>Aquatics - Lessons</x:v>
      </x:c>
      <x:c r="E286" s="7" t="str">
        <x:v>active</x:v>
      </x:c>
      <x:c r="F286" s="7" t="str">
        <x:v>2026-09-08</x:v>
      </x:c>
      <x:c r="G286" s="7" t="str">
        <x:v>2026-10-08</x:v>
      </x:c>
      <x:c r="H286" s="7" t="n">
        <x:v>6</x:v>
      </x:c>
      <x:c r="I286" s="7"/>
      <x:c r="J286" s="7" t="n">
        <x:v>6</x:v>
      </x:c>
      <x:c r="K286" s="7" t="str">
        <x:v>unverified-denominator</x:v>
      </x:c>
      <x:c r="L286" s="7" t="d">
        <x:v>2026-09-16T05:12:38.111Z</x:v>
      </x:c>
      <x:c r="M286" s="7" t="str">
        <x:v>https://apm.activecommunities.com/portlandparks/Activity_Search/epcc---penguin/209172?locale=en-US</x:v>
      </x:c>
    </x:row>
    <x:row r="287" ht="38" customHeight="1">
      <x:c r="A287" s="8" t="str">
        <x:v>209180</x:v>
      </x:c>
      <x:c r="B287" s="11" t="str">
        <x:v>EPCC - Penguin</x:v>
      </x:c>
      <x:c r="C287" s="11" t="str">
        <x:v>East Portland Indoor Pool</x:v>
      </x:c>
      <x:c r="D287" s="11" t="str">
        <x:v>Aquatics - Lessons</x:v>
      </x:c>
      <x:c r="E287" s="8" t="str">
        <x:v>active</x:v>
      </x:c>
      <x:c r="F287" s="8" t="str">
        <x:v>2026-09-09</x:v>
      </x:c>
      <x:c r="G287" s="8" t="str">
        <x:v>2026-10-07</x:v>
      </x:c>
      <x:c r="H287" s="8" t="n">
        <x:v>6</x:v>
      </x:c>
      <x:c r="I287" s="8"/>
      <x:c r="J287" s="8" t="n">
        <x:v>6</x:v>
      </x:c>
      <x:c r="K287" s="8" t="str">
        <x:v>unverified-denominator</x:v>
      </x:c>
      <x:c r="L287" s="8" t="d">
        <x:v>2026-09-16T05:12:38.111Z</x:v>
      </x:c>
      <x:c r="M287" s="8" t="str">
        <x:v>https://apm.activecommunities.com/portlandparks/Activity_Search/epcc---penguin/209180?locale=en-US</x:v>
      </x:c>
    </x:row>
    <x:row r="288" ht="38" customHeight="1">
      <x:c r="A288" s="7" t="str">
        <x:v>209178</x:v>
      </x:c>
      <x:c r="B288" s="12" t="str">
        <x:v>EPCC - Polar Bear</x:v>
      </x:c>
      <x:c r="C288" s="12" t="str">
        <x:v>East Portland Indoor Pool</x:v>
      </x:c>
      <x:c r="D288" s="12" t="str">
        <x:v>Aquatics - Lessons</x:v>
      </x:c>
      <x:c r="E288" s="7" t="str">
        <x:v>active</x:v>
      </x:c>
      <x:c r="F288" s="7" t="str">
        <x:v>2026-09-09</x:v>
      </x:c>
      <x:c r="G288" s="7" t="str">
        <x:v>2026-10-07</x:v>
      </x:c>
      <x:c r="H288" s="7" t="n">
        <x:v>6</x:v>
      </x:c>
      <x:c r="I288" s="7" t="n">
        <x:v>5</x:v>
      </x:c>
      <x:c r="J288" s="7" t="n">
        <x:v>6</x:v>
      </x:c>
      <x:c r="K288" s="7" t="str">
        <x:v>unverified-denominator</x:v>
      </x:c>
      <x:c r="L288" s="7" t="d">
        <x:v>2026-09-16T05:12:38.111Z</x:v>
      </x:c>
      <x:c r="M288" s="7" t="str">
        <x:v>https://apm.activecommunities.com/portlandparks/Activity_Search/epcc---polar-bear/209178?locale=en-US</x:v>
      </x:c>
    </x:row>
    <x:row r="289" ht="38" customHeight="1">
      <x:c r="A289" s="8" t="str">
        <x:v>209062</x:v>
      </x:c>
      <x:c r="B289" s="11" t="str">
        <x:v>EPCC - Polar Bear</x:v>
      </x:c>
      <x:c r="C289" s="11" t="str">
        <x:v>East Portland Indoor Pool</x:v>
      </x:c>
      <x:c r="D289" s="11" t="str">
        <x:v>Aquatics - Lessons</x:v>
      </x:c>
      <x:c r="E289" s="8" t="str">
        <x:v>active</x:v>
      </x:c>
      <x:c r="F289" s="8" t="str">
        <x:v>2026-09-08</x:v>
      </x:c>
      <x:c r="G289" s="8" t="str">
        <x:v>2026-10-08</x:v>
      </x:c>
      <x:c r="H289" s="8" t="n">
        <x:v>5</x:v>
      </x:c>
      <x:c r="I289" s="8" t="n">
        <x:v>6</x:v>
      </x:c>
      <x:c r="J289" s="8" t="n">
        <x:v>6</x:v>
      </x:c>
      <x:c r="K289" s="8" t="str">
        <x:v>unverified-denominator</x:v>
      </x:c>
      <x:c r="L289" s="8" t="d">
        <x:v>2026-09-16T05:12:38.111Z</x:v>
      </x:c>
      <x:c r="M289" s="8" t="str">
        <x:v>https://apm.activecommunities.com/portlandparks/Activity_Search/epcc---polar-bear/209062?locale=en-US</x:v>
      </x:c>
    </x:row>
    <x:row r="290" ht="38" customHeight="1">
      <x:c r="A290" s="7" t="str">
        <x:v>208114</x:v>
      </x:c>
      <x:c r="B290" s="12" t="str">
        <x:v>EPCC - Polar Bear</x:v>
      </x:c>
      <x:c r="C290" s="12" t="str">
        <x:v>East Portland Indoor Pool</x:v>
      </x:c>
      <x:c r="D290" s="12" t="str">
        <x:v>Aquatics - Lessons</x:v>
      </x:c>
      <x:c r="E290" s="7" t="str">
        <x:v>active</x:v>
      </x:c>
      <x:c r="F290" s="7" t="str">
        <x:v>2026-09-09</x:v>
      </x:c>
      <x:c r="G290" s="7" t="str">
        <x:v>2026-10-07</x:v>
      </x:c>
      <x:c r="H290" s="7" t="n">
        <x:v>6</x:v>
      </x:c>
      <x:c r="I290" s="7" t="n">
        <x:v>11</x:v>
      </x:c>
      <x:c r="J290" s="7" t="n">
        <x:v>6</x:v>
      </x:c>
      <x:c r="K290" s="7" t="str">
        <x:v>unverified-denominator</x:v>
      </x:c>
      <x:c r="L290" s="7" t="d">
        <x:v>2026-09-16T05:12:38.111Z</x:v>
      </x:c>
      <x:c r="M290" s="7" t="str">
        <x:v>https://apm.activecommunities.com/portlandparks/Activity_Search/epcc---polar-bear/208114?locale=en-US</x:v>
      </x:c>
    </x:row>
    <x:row r="291" ht="38" customHeight="1">
      <x:c r="A291" s="8" t="str">
        <x:v>208174</x:v>
      </x:c>
      <x:c r="B291" s="11" t="str">
        <x:v>EPCC - Polar Bear</x:v>
      </x:c>
      <x:c r="C291" s="11" t="str">
        <x:v>East Portland Indoor Pool</x:v>
      </x:c>
      <x:c r="D291" s="11" t="str">
        <x:v>Aquatics - Lessons</x:v>
      </x:c>
      <x:c r="E291" s="8" t="str">
        <x:v>future</x:v>
      </x:c>
      <x:c r="F291" s="8" t="str">
        <x:v>2026-11-17</x:v>
      </x:c>
      <x:c r="G291" s="8" t="str">
        <x:v>2026-12-10</x:v>
      </x:c>
      <x:c r="H291" s="8" t="n">
        <x:v>0</x:v>
      </x:c>
      <x:c r="I291" s="8"/>
      <x:c r="J291" s="8" t="n">
        <x:v>6</x:v>
      </x:c>
      <x:c r="K291" s="8" t="str">
        <x:v>unverified-denominator</x:v>
      </x:c>
      <x:c r="L291" s="8" t="d">
        <x:v>2026-09-16T05:12:38.111Z</x:v>
      </x:c>
      <x:c r="M291" s="8" t="str">
        <x:v>https://apm.activecommunities.com/portlandparks/Activity_Search/epcc---polar-bear/208174?locale=en-US</x:v>
      </x:c>
    </x:row>
    <x:row r="292" ht="38" customHeight="1">
      <x:c r="A292" s="7" t="str">
        <x:v>208142</x:v>
      </x:c>
      <x:c r="B292" s="12" t="str">
        <x:v>EPCC - Polar Bear</x:v>
      </x:c>
      <x:c r="C292" s="12" t="str">
        <x:v>East Portland Indoor Pool</x:v>
      </x:c>
      <x:c r="D292" s="12" t="str">
        <x:v>Aquatics - Lessons</x:v>
      </x:c>
      <x:c r="E292" s="7" t="str">
        <x:v>active</x:v>
      </x:c>
      <x:c r="F292" s="7" t="str">
        <x:v>2026-09-08</x:v>
      </x:c>
      <x:c r="G292" s="7" t="str">
        <x:v>2026-10-08</x:v>
      </x:c>
      <x:c r="H292" s="7" t="n">
        <x:v>6</x:v>
      </x:c>
      <x:c r="I292" s="7" t="n">
        <x:v>7</x:v>
      </x:c>
      <x:c r="J292" s="7" t="n">
        <x:v>6</x:v>
      </x:c>
      <x:c r="K292" s="7" t="str">
        <x:v>unverified-denominator</x:v>
      </x:c>
      <x:c r="L292" s="7" t="d">
        <x:v>2026-09-16T05:12:38.111Z</x:v>
      </x:c>
      <x:c r="M292" s="7" t="str">
        <x:v>https://apm.activecommunities.com/portlandparks/Activity_Search/epcc---polar-bear/208142?locale=en-US</x:v>
      </x:c>
    </x:row>
    <x:row r="293" ht="38" customHeight="1">
      <x:c r="A293" s="8" t="str">
        <x:v>208148</x:v>
      </x:c>
      <x:c r="B293" s="11" t="str">
        <x:v>EPCC - Polar Bear</x:v>
      </x:c>
      <x:c r="C293" s="11" t="str">
        <x:v>East Portland Indoor Pool</x:v>
      </x:c>
      <x:c r="D293" s="11" t="str">
        <x:v>Aquatics - Lessons</x:v>
      </x:c>
      <x:c r="E293" s="8" t="str">
        <x:v>future</x:v>
      </x:c>
      <x:c r="F293" s="8" t="str">
        <x:v>2026-11-16</x:v>
      </x:c>
      <x:c r="G293" s="8" t="str">
        <x:v>2026-12-09</x:v>
      </x:c>
      <x:c r="H293" s="8" t="n">
        <x:v>0</x:v>
      </x:c>
      <x:c r="I293" s="8"/>
      <x:c r="J293" s="8" t="n">
        <x:v>6</x:v>
      </x:c>
      <x:c r="K293" s="8" t="str">
        <x:v>unverified-denominator</x:v>
      </x:c>
      <x:c r="L293" s="8" t="d">
        <x:v>2026-09-16T05:12:38.111Z</x:v>
      </x:c>
      <x:c r="M293" s="8" t="str">
        <x:v>https://apm.activecommunities.com/portlandparks/Activity_Search/epcc---polar-bear/208148?locale=en-US</x:v>
      </x:c>
    </x:row>
    <x:row r="294" ht="38" customHeight="1">
      <x:c r="A294" s="7" t="str">
        <x:v>208158</x:v>
      </x:c>
      <x:c r="B294" s="12" t="str">
        <x:v>EPCC - Pre - Otter</x:v>
      </x:c>
      <x:c r="C294" s="12" t="str">
        <x:v>East Portland Indoor Pool</x:v>
      </x:c>
      <x:c r="D294" s="12" t="str">
        <x:v>Aquatics - Lessons</x:v>
      </x:c>
      <x:c r="E294" s="7" t="str">
        <x:v>future</x:v>
      </x:c>
      <x:c r="F294" s="7" t="str">
        <x:v>2026-11-16</x:v>
      </x:c>
      <x:c r="G294" s="7" t="str">
        <x:v>2026-12-09</x:v>
      </x:c>
      <x:c r="H294" s="7" t="n">
        <x:v>0</x:v>
      </x:c>
      <x:c r="I294" s="7"/>
      <x:c r="J294" s="7" t="n">
        <x:v>5</x:v>
      </x:c>
      <x:c r="K294" s="7" t="str">
        <x:v>unverified-denominator</x:v>
      </x:c>
      <x:c r="L294" s="7" t="d">
        <x:v>2026-09-16T05:12:38.111Z</x:v>
      </x:c>
      <x:c r="M294" s="7" t="str">
        <x:v>https://apm.activecommunities.com/portlandparks/Activity_Search/epcc---pre---otter/208158?locale=en-US</x:v>
      </x:c>
    </x:row>
    <x:row r="295" ht="38" customHeight="1">
      <x:c r="A295" s="8" t="str">
        <x:v>208132</x:v>
      </x:c>
      <x:c r="B295" s="11" t="str">
        <x:v>EPCC - Pre - Otter</x:v>
      </x:c>
      <x:c r="C295" s="11" t="str">
        <x:v>East Portland Indoor Pool</x:v>
      </x:c>
      <x:c r="D295" s="11" t="str">
        <x:v>Aquatics - Lessons</x:v>
      </x:c>
      <x:c r="E295" s="8" t="str">
        <x:v>active</x:v>
      </x:c>
      <x:c r="F295" s="8" t="str">
        <x:v>2026-09-08</x:v>
      </x:c>
      <x:c r="G295" s="8" t="str">
        <x:v>2026-10-08</x:v>
      </x:c>
      <x:c r="H295" s="8" t="n">
        <x:v>4</x:v>
      </x:c>
      <x:c r="I295" s="8" t="n">
        <x:v>6</x:v>
      </x:c>
      <x:c r="J295" s="8" t="n">
        <x:v>5</x:v>
      </x:c>
      <x:c r="K295" s="8" t="str">
        <x:v>unverified-denominator</x:v>
      </x:c>
      <x:c r="L295" s="8" t="d">
        <x:v>2026-09-16T05:12:38.111Z</x:v>
      </x:c>
      <x:c r="M295" s="8" t="str">
        <x:v>https://apm.activecommunities.com/portlandparks/Activity_Search/epcc---pre---otter/208132?locale=en-US</x:v>
      </x:c>
    </x:row>
    <x:row r="296" ht="38" customHeight="1">
      <x:c r="A296" s="7" t="str">
        <x:v>208133</x:v>
      </x:c>
      <x:c r="B296" s="12" t="str">
        <x:v>EPCC - Pre - Otter</x:v>
      </x:c>
      <x:c r="C296" s="12" t="str">
        <x:v>East Portland Indoor Pool</x:v>
      </x:c>
      <x:c r="D296" s="12" t="str">
        <x:v>Aquatics - Lessons</x:v>
      </x:c>
      <x:c r="E296" s="7" t="str">
        <x:v>active</x:v>
      </x:c>
      <x:c r="F296" s="7" t="str">
        <x:v>2026-09-08</x:v>
      </x:c>
      <x:c r="G296" s="7" t="str">
        <x:v>2026-10-08</x:v>
      </x:c>
      <x:c r="H296" s="7" t="n">
        <x:v>4</x:v>
      </x:c>
      <x:c r="I296" s="7" t="n">
        <x:v>3</x:v>
      </x:c>
      <x:c r="J296" s="7" t="n">
        <x:v>5</x:v>
      </x:c>
      <x:c r="K296" s="7" t="str">
        <x:v>unverified-denominator</x:v>
      </x:c>
      <x:c r="L296" s="7" t="d">
        <x:v>2026-09-16T05:12:38.111Z</x:v>
      </x:c>
      <x:c r="M296" s="7" t="str">
        <x:v>https://apm.activecommunities.com/portlandparks/Activity_Search/epcc---pre---otter/208133?locale=en-US</x:v>
      </x:c>
    </x:row>
    <x:row r="297" ht="38" customHeight="1">
      <x:c r="A297" s="8" t="str">
        <x:v>208168</x:v>
      </x:c>
      <x:c r="B297" s="11" t="str">
        <x:v>EPCC - Pre - Otter</x:v>
      </x:c>
      <x:c r="C297" s="11" t="str">
        <x:v>East Portland Indoor Pool</x:v>
      </x:c>
      <x:c r="D297" s="11" t="str">
        <x:v>Aquatics - Lessons</x:v>
      </x:c>
      <x:c r="E297" s="8" t="str">
        <x:v>future</x:v>
      </x:c>
      <x:c r="F297" s="8" t="str">
        <x:v>2026-11-17</x:v>
      </x:c>
      <x:c r="G297" s="8" t="str">
        <x:v>2026-12-10</x:v>
      </x:c>
      <x:c r="H297" s="8" t="n">
        <x:v>0</x:v>
      </x:c>
      <x:c r="I297" s="8"/>
      <x:c r="J297" s="8" t="n">
        <x:v>5</x:v>
      </x:c>
      <x:c r="K297" s="8" t="str">
        <x:v>unverified-denominator</x:v>
      </x:c>
      <x:c r="L297" s="8" t="d">
        <x:v>2026-09-16T05:12:38.111Z</x:v>
      </x:c>
      <x:c r="M297" s="8" t="str">
        <x:v>https://apm.activecommunities.com/portlandparks/Activity_Search/epcc---pre---otter/208168?locale=en-US</x:v>
      </x:c>
    </x:row>
    <x:row r="298" ht="38" customHeight="1">
      <x:c r="A298" s="7" t="str">
        <x:v>208185</x:v>
      </x:c>
      <x:c r="B298" s="12" t="str">
        <x:v>EPCC - Pre - Otter</x:v>
      </x:c>
      <x:c r="C298" s="12" t="str">
        <x:v>East Portland Indoor Pool</x:v>
      </x:c>
      <x:c r="D298" s="12" t="str">
        <x:v>Aquatics - Lessons</x:v>
      </x:c>
      <x:c r="E298" s="7" t="str">
        <x:v>future</x:v>
      </x:c>
      <x:c r="F298" s="7" t="str">
        <x:v>2026-11-17</x:v>
      </x:c>
      <x:c r="G298" s="7" t="str">
        <x:v>2026-12-10</x:v>
      </x:c>
      <x:c r="H298" s="7" t="n">
        <x:v>0</x:v>
      </x:c>
      <x:c r="I298" s="7"/>
      <x:c r="J298" s="7" t="n">
        <x:v>5</x:v>
      </x:c>
      <x:c r="K298" s="7" t="str">
        <x:v>unverified-denominator</x:v>
      </x:c>
      <x:c r="L298" s="7" t="d">
        <x:v>2026-09-16T05:12:38.111Z</x:v>
      </x:c>
      <x:c r="M298" s="7" t="str">
        <x:v>https://apm.activecommunities.com/portlandparks/Activity_Search/epcc---pre---otter/208185?locale=en-US</x:v>
      </x:c>
    </x:row>
    <x:row r="299" ht="38" customHeight="1">
      <x:c r="A299" s="8" t="str">
        <x:v>208111</x:v>
      </x:c>
      <x:c r="B299" s="11" t="str">
        <x:v>EPCC - Pre - Otter</x:v>
      </x:c>
      <x:c r="C299" s="11" t="str">
        <x:v>East Portland Indoor Pool</x:v>
      </x:c>
      <x:c r="D299" s="11" t="str">
        <x:v>Aquatics - Lessons</x:v>
      </x:c>
      <x:c r="E299" s="8" t="str">
        <x:v>active</x:v>
      </x:c>
      <x:c r="F299" s="8" t="str">
        <x:v>2026-09-09</x:v>
      </x:c>
      <x:c r="G299" s="8" t="str">
        <x:v>2026-10-07</x:v>
      </x:c>
      <x:c r="H299" s="8" t="n">
        <x:v>5</x:v>
      </x:c>
      <x:c r="I299" s="8" t="n">
        <x:v>5</x:v>
      </x:c>
      <x:c r="J299" s="8" t="n">
        <x:v>5</x:v>
      </x:c>
      <x:c r="K299" s="8" t="str">
        <x:v>unverified-denominator</x:v>
      </x:c>
      <x:c r="L299" s="8" t="d">
        <x:v>2026-09-16T05:12:38.111Z</x:v>
      </x:c>
      <x:c r="M299" s="8" t="str">
        <x:v>https://apm.activecommunities.com/portlandparks/Activity_Search/epcc---pre---otter/208111?locale=en-US</x:v>
      </x:c>
    </x:row>
    <x:row r="300" ht="38" customHeight="1">
      <x:c r="A300" s="7" t="str">
        <x:v>209176</x:v>
      </x:c>
      <x:c r="B300" s="12" t="str">
        <x:v>EPCC - Pre - Otter</x:v>
      </x:c>
      <x:c r="C300" s="12" t="str">
        <x:v>East Portland Indoor Pool</x:v>
      </x:c>
      <x:c r="D300" s="12" t="str">
        <x:v>Aquatics - Lessons</x:v>
      </x:c>
      <x:c r="E300" s="7" t="str">
        <x:v>active</x:v>
      </x:c>
      <x:c r="F300" s="7" t="str">
        <x:v>2026-09-09</x:v>
      </x:c>
      <x:c r="G300" s="7" t="str">
        <x:v>2026-10-07</x:v>
      </x:c>
      <x:c r="H300" s="7" t="n">
        <x:v>5</x:v>
      </x:c>
      <x:c r="I300" s="7" t="n">
        <x:v>1</x:v>
      </x:c>
      <x:c r="J300" s="7" t="n">
        <x:v>5</x:v>
      </x:c>
      <x:c r="K300" s="7" t="str">
        <x:v>unverified-denominator</x:v>
      </x:c>
      <x:c r="L300" s="7" t="d">
        <x:v>2026-09-16T05:12:38.111Z</x:v>
      </x:c>
      <x:c r="M300" s="7" t="str">
        <x:v>https://apm.activecommunities.com/portlandparks/Activity_Search/epcc---pre---otter/209176?locale=en-US</x:v>
      </x:c>
    </x:row>
    <x:row r="301" ht="38" customHeight="1">
      <x:c r="A301" s="8" t="str">
        <x:v>209179</x:v>
      </x:c>
      <x:c r="B301" s="11" t="str">
        <x:v>EPCC - Pre - Penguin</x:v>
      </x:c>
      <x:c r="C301" s="11" t="str">
        <x:v>East Portland Indoor Pool</x:v>
      </x:c>
      <x:c r="D301" s="11" t="str">
        <x:v>Aquatics - Lessons</x:v>
      </x:c>
      <x:c r="E301" s="8" t="str">
        <x:v>active</x:v>
      </x:c>
      <x:c r="F301" s="8" t="str">
        <x:v>2026-09-09</x:v>
      </x:c>
      <x:c r="G301" s="8" t="str">
        <x:v>2026-10-07</x:v>
      </x:c>
      <x:c r="H301" s="8" t="n">
        <x:v>5</x:v>
      </x:c>
      <x:c r="I301" s="8"/>
      <x:c r="J301" s="8" t="n">
        <x:v>5</x:v>
      </x:c>
      <x:c r="K301" s="8" t="str">
        <x:v>unverified-denominator</x:v>
      </x:c>
      <x:c r="L301" s="8" t="d">
        <x:v>2026-09-16T05:12:38.111Z</x:v>
      </x:c>
      <x:c r="M301" s="8" t="str">
        <x:v>https://apm.activecommunities.com/portlandparks/Activity_Search/epcc---pre---penguin/209179?locale=en-US</x:v>
      </x:c>
    </x:row>
    <x:row r="302" ht="38" customHeight="1">
      <x:c r="A302" s="7" t="str">
        <x:v>209173</x:v>
      </x:c>
      <x:c r="B302" s="12" t="str">
        <x:v>EPCC - Pre - Penguin</x:v>
      </x:c>
      <x:c r="C302" s="12" t="str">
        <x:v>East Portland Indoor Pool</x:v>
      </x:c>
      <x:c r="D302" s="12" t="str">
        <x:v>Aquatics - Lessons</x:v>
      </x:c>
      <x:c r="E302" s="7" t="str">
        <x:v>active</x:v>
      </x:c>
      <x:c r="F302" s="7" t="str">
        <x:v>2026-09-09</x:v>
      </x:c>
      <x:c r="G302" s="7" t="str">
        <x:v>2026-10-07</x:v>
      </x:c>
      <x:c r="H302" s="7" t="n">
        <x:v>4</x:v>
      </x:c>
      <x:c r="I302" s="7" t="n">
        <x:v>1</x:v>
      </x:c>
      <x:c r="J302" s="7" t="n">
        <x:v>5</x:v>
      </x:c>
      <x:c r="K302" s="7" t="str">
        <x:v>unverified-denominator</x:v>
      </x:c>
      <x:c r="L302" s="7" t="d">
        <x:v>2026-09-16T05:12:38.111Z</x:v>
      </x:c>
      <x:c r="M302" s="7" t="str">
        <x:v>https://apm.activecommunities.com/portlandparks/Activity_Search/epcc---pre---penguin/209173?locale=en-US</x:v>
      </x:c>
    </x:row>
    <x:row r="303" ht="38" customHeight="1">
      <x:c r="A303" s="8" t="str">
        <x:v>209169</x:v>
      </x:c>
      <x:c r="B303" s="11" t="str">
        <x:v>EPCC - Pre - Penguin</x:v>
      </x:c>
      <x:c r="C303" s="11" t="str">
        <x:v>East Portland Indoor Pool</x:v>
      </x:c>
      <x:c r="D303" s="11" t="str">
        <x:v>Aquatics - Lessons</x:v>
      </x:c>
      <x:c r="E303" s="8" t="str">
        <x:v>active</x:v>
      </x:c>
      <x:c r="F303" s="8" t="str">
        <x:v>2026-09-08</x:v>
      </x:c>
      <x:c r="G303" s="8" t="str">
        <x:v>2026-10-08</x:v>
      </x:c>
      <x:c r="H303" s="8" t="n">
        <x:v>5</x:v>
      </x:c>
      <x:c r="I303" s="8" t="n">
        <x:v>2</x:v>
      </x:c>
      <x:c r="J303" s="8" t="n">
        <x:v>5</x:v>
      </x:c>
      <x:c r="K303" s="8" t="str">
        <x:v>unverified-denominator</x:v>
      </x:c>
      <x:c r="L303" s="8" t="d">
        <x:v>2026-09-16T05:12:38.111Z</x:v>
      </x:c>
      <x:c r="M303" s="8" t="str">
        <x:v>https://apm.activecommunities.com/portlandparks/Activity_Search/epcc---pre---penguin/209169?locale=en-US</x:v>
      </x:c>
    </x:row>
    <x:row r="304" ht="38" customHeight="1">
      <x:c r="A304" s="7" t="str">
        <x:v>209170</x:v>
      </x:c>
      <x:c r="B304" s="12" t="str">
        <x:v>EPCC - Pre - Penguin</x:v>
      </x:c>
      <x:c r="C304" s="12" t="str">
        <x:v>East Portland Indoor Pool</x:v>
      </x:c>
      <x:c r="D304" s="12" t="str">
        <x:v>Aquatics - Lessons</x:v>
      </x:c>
      <x:c r="E304" s="7" t="str">
        <x:v>active</x:v>
      </x:c>
      <x:c r="F304" s="7" t="str">
        <x:v>2026-09-08</x:v>
      </x:c>
      <x:c r="G304" s="7" t="str">
        <x:v>2026-10-08</x:v>
      </x:c>
      <x:c r="H304" s="7" t="n">
        <x:v>5</x:v>
      </x:c>
      <x:c r="I304" s="7"/>
      <x:c r="J304" s="7" t="n">
        <x:v>5</x:v>
      </x:c>
      <x:c r="K304" s="7" t="str">
        <x:v>unverified-denominator</x:v>
      </x:c>
      <x:c r="L304" s="7" t="d">
        <x:v>2026-09-16T05:12:38.111Z</x:v>
      </x:c>
      <x:c r="M304" s="7" t="str">
        <x:v>https://apm.activecommunities.com/portlandparks/Activity_Search/epcc---pre---penguin/209170?locale=en-US</x:v>
      </x:c>
    </x:row>
    <x:row r="305" ht="38" customHeight="1">
      <x:c r="A305" s="8" t="str">
        <x:v>209069</x:v>
      </x:c>
      <x:c r="B305" s="11" t="str">
        <x:v>EPCC - Pre - Penguin</x:v>
      </x:c>
      <x:c r="C305" s="11" t="str">
        <x:v>East Portland Indoor Pool</x:v>
      </x:c>
      <x:c r="D305" s="11" t="str">
        <x:v>Aquatics - Lessons</x:v>
      </x:c>
      <x:c r="E305" s="8" t="str">
        <x:v>active</x:v>
      </x:c>
      <x:c r="F305" s="8" t="str">
        <x:v>2026-09-08</x:v>
      </x:c>
      <x:c r="G305" s="8" t="str">
        <x:v>2026-10-08</x:v>
      </x:c>
      <x:c r="H305" s="8" t="n">
        <x:v>5</x:v>
      </x:c>
      <x:c r="I305" s="8"/>
      <x:c r="J305" s="8" t="n">
        <x:v>5</x:v>
      </x:c>
      <x:c r="K305" s="8" t="str">
        <x:v>unverified-denominator</x:v>
      </x:c>
      <x:c r="L305" s="8" t="d">
        <x:v>2026-09-16T05:12:38.111Z</x:v>
      </x:c>
      <x:c r="M305" s="8" t="str">
        <x:v>https://apm.activecommunities.com/portlandparks/Activity_Search/epcc---pre---penguin/209069?locale=en-US</x:v>
      </x:c>
    </x:row>
    <x:row r="306" ht="38" customHeight="1">
      <x:c r="A306" s="7" t="str">
        <x:v>208103</x:v>
      </x:c>
      <x:c r="B306" s="12" t="str">
        <x:v>EPCC - Pre - Penguin</x:v>
      </x:c>
      <x:c r="C306" s="12" t="str">
        <x:v>East Portland Indoor Pool</x:v>
      </x:c>
      <x:c r="D306" s="12" t="str">
        <x:v>Aquatics - Lessons</x:v>
      </x:c>
      <x:c r="E306" s="7" t="str">
        <x:v>future</x:v>
      </x:c>
      <x:c r="F306" s="7" t="str">
        <x:v>2026-11-17</x:v>
      </x:c>
      <x:c r="G306" s="7" t="str">
        <x:v>2026-12-10</x:v>
      </x:c>
      <x:c r="H306" s="7" t="n">
        <x:v>0</x:v>
      </x:c>
      <x:c r="I306" s="7"/>
      <x:c r="J306" s="7" t="n">
        <x:v>5</x:v>
      </x:c>
      <x:c r="K306" s="7" t="str">
        <x:v>unverified-denominator</x:v>
      </x:c>
      <x:c r="L306" s="7" t="d">
        <x:v>2026-09-16T05:12:38.111Z</x:v>
      </x:c>
      <x:c r="M306" s="7" t="str">
        <x:v>https://apm.activecommunities.com/portlandparks/Activity_Search/epcc---pre---penguin/208103?locale=en-US</x:v>
      </x:c>
    </x:row>
    <x:row r="307" ht="38" customHeight="1">
      <x:c r="A307" s="8" t="str">
        <x:v>208117</x:v>
      </x:c>
      <x:c r="B307" s="11" t="str">
        <x:v>EPCC - Pre - Penguin</x:v>
      </x:c>
      <x:c r="C307" s="11" t="str">
        <x:v>East Portland Indoor Pool</x:v>
      </x:c>
      <x:c r="D307" s="11" t="str">
        <x:v>Aquatics - Lessons</x:v>
      </x:c>
      <x:c r="E307" s="8" t="str">
        <x:v>active</x:v>
      </x:c>
      <x:c r="F307" s="8" t="str">
        <x:v>2026-09-09</x:v>
      </x:c>
      <x:c r="G307" s="8" t="str">
        <x:v>2026-10-07</x:v>
      </x:c>
      <x:c r="H307" s="8" t="n">
        <x:v>5</x:v>
      </x:c>
      <x:c r="I307" s="8" t="n">
        <x:v>6</x:v>
      </x:c>
      <x:c r="J307" s="8" t="n">
        <x:v>5</x:v>
      </x:c>
      <x:c r="K307" s="8" t="str">
        <x:v>unverified-denominator</x:v>
      </x:c>
      <x:c r="L307" s="8" t="d">
        <x:v>2026-09-16T05:12:38.111Z</x:v>
      </x:c>
      <x:c r="M307" s="8" t="str">
        <x:v>https://apm.activecommunities.com/portlandparks/Activity_Search/epcc---pre---penguin/208117?locale=en-US</x:v>
      </x:c>
    </x:row>
    <x:row r="308" ht="38" customHeight="1">
      <x:c r="A308" s="7" t="str">
        <x:v>208184</x:v>
      </x:c>
      <x:c r="B308" s="12" t="str">
        <x:v>EPCC - Pre - Penguin</x:v>
      </x:c>
      <x:c r="C308" s="12" t="str">
        <x:v>East Portland Indoor Pool</x:v>
      </x:c>
      <x:c r="D308" s="12" t="str">
        <x:v>Aquatics - Lessons</x:v>
      </x:c>
      <x:c r="E308" s="7" t="str">
        <x:v>future</x:v>
      </x:c>
      <x:c r="F308" s="7" t="str">
        <x:v>2026-11-17</x:v>
      </x:c>
      <x:c r="G308" s="7" t="str">
        <x:v>2026-12-10</x:v>
      </x:c>
      <x:c r="H308" s="7" t="n">
        <x:v>0</x:v>
      </x:c>
      <x:c r="I308" s="7"/>
      <x:c r="J308" s="7" t="n">
        <x:v>5</x:v>
      </x:c>
      <x:c r="K308" s="7" t="str">
        <x:v>unverified-denominator</x:v>
      </x:c>
      <x:c r="L308" s="7" t="d">
        <x:v>2026-09-16T05:12:38.111Z</x:v>
      </x:c>
      <x:c r="M308" s="7" t="str">
        <x:v>https://apm.activecommunities.com/portlandparks/Activity_Search/epcc---pre---penguin/208184?locale=en-US</x:v>
      </x:c>
    </x:row>
    <x:row r="309" ht="38" customHeight="1">
      <x:c r="A309" s="8" t="str">
        <x:v>208167</x:v>
      </x:c>
      <x:c r="B309" s="11" t="str">
        <x:v>EPCC - Pre - Penguin</x:v>
      </x:c>
      <x:c r="C309" s="11" t="str">
        <x:v>East Portland Indoor Pool</x:v>
      </x:c>
      <x:c r="D309" s="11" t="str">
        <x:v>Aquatics - Lessons</x:v>
      </x:c>
      <x:c r="E309" s="8" t="str">
        <x:v>future</x:v>
      </x:c>
      <x:c r="F309" s="8" t="str">
        <x:v>2026-11-17</x:v>
      </x:c>
      <x:c r="G309" s="8" t="str">
        <x:v>2026-12-10</x:v>
      </x:c>
      <x:c r="H309" s="8" t="n">
        <x:v>0</x:v>
      </x:c>
      <x:c r="I309" s="8"/>
      <x:c r="J309" s="8" t="n">
        <x:v>5</x:v>
      </x:c>
      <x:c r="K309" s="8" t="str">
        <x:v>unverified-denominator</x:v>
      </x:c>
      <x:c r="L309" s="8" t="d">
        <x:v>2026-09-16T05:12:38.111Z</x:v>
      </x:c>
      <x:c r="M309" s="8" t="str">
        <x:v>https://apm.activecommunities.com/portlandparks/Activity_Search/epcc---pre---penguin/208167?locale=en-US</x:v>
      </x:c>
    </x:row>
    <x:row r="310" ht="38" customHeight="1">
      <x:c r="A310" s="7" t="str">
        <x:v>208154</x:v>
      </x:c>
      <x:c r="B310" s="12" t="str">
        <x:v>EPCC - Pre - Penguin</x:v>
      </x:c>
      <x:c r="C310" s="12" t="str">
        <x:v>East Portland Indoor Pool</x:v>
      </x:c>
      <x:c r="D310" s="12" t="str">
        <x:v>Aquatics - Lessons</x:v>
      </x:c>
      <x:c r="E310" s="7" t="str">
        <x:v>future</x:v>
      </x:c>
      <x:c r="F310" s="7" t="str">
        <x:v>2026-11-16</x:v>
      </x:c>
      <x:c r="G310" s="7" t="str">
        <x:v>2026-12-09</x:v>
      </x:c>
      <x:c r="H310" s="7" t="n">
        <x:v>0</x:v>
      </x:c>
      <x:c r="I310" s="7"/>
      <x:c r="J310" s="7" t="n">
        <x:v>5</x:v>
      </x:c>
      <x:c r="K310" s="7" t="str">
        <x:v>unverified-denominator</x:v>
      </x:c>
      <x:c r="L310" s="7" t="d">
        <x:v>2026-09-16T05:12:38.111Z</x:v>
      </x:c>
      <x:c r="M310" s="7" t="str">
        <x:v>https://apm.activecommunities.com/portlandparks/Activity_Search/epcc---pre---penguin/208154?locale=en-US</x:v>
      </x:c>
    </x:row>
    <x:row r="311" ht="38" customHeight="1">
      <x:c r="A311" s="8" t="str">
        <x:v>208119</x:v>
      </x:c>
      <x:c r="B311" s="11" t="str">
        <x:v>EPCC - Pre - Penguin</x:v>
      </x:c>
      <x:c r="C311" s="11" t="str">
        <x:v>East Portland Indoor Pool</x:v>
      </x:c>
      <x:c r="D311" s="11" t="str">
        <x:v>Aquatics - Lessons</x:v>
      </x:c>
      <x:c r="E311" s="8" t="str">
        <x:v>active</x:v>
      </x:c>
      <x:c r="F311" s="8" t="str">
        <x:v>2026-09-09</x:v>
      </x:c>
      <x:c r="G311" s="8" t="str">
        <x:v>2026-10-07</x:v>
      </x:c>
      <x:c r="H311" s="8" t="n">
        <x:v>5</x:v>
      </x:c>
      <x:c r="I311" s="8" t="n">
        <x:v>8</x:v>
      </x:c>
      <x:c r="J311" s="8" t="n">
        <x:v>5</x:v>
      </x:c>
      <x:c r="K311" s="8" t="str">
        <x:v>unverified-denominator</x:v>
      </x:c>
      <x:c r="L311" s="8" t="d">
        <x:v>2026-09-16T05:12:38.111Z</x:v>
      </x:c>
      <x:c r="M311" s="8" t="str">
        <x:v>https://apm.activecommunities.com/portlandparks/Activity_Search/epcc---pre---penguin/208119?locale=en-US</x:v>
      </x:c>
    </x:row>
    <x:row r="312" ht="38" customHeight="1">
      <x:c r="A312" s="7" t="str">
        <x:v>208130</x:v>
      </x:c>
      <x:c r="B312" s="12" t="str">
        <x:v>EPCC - Pre - Penguin</x:v>
      </x:c>
      <x:c r="C312" s="12" t="str">
        <x:v>East Portland Indoor Pool</x:v>
      </x:c>
      <x:c r="D312" s="12" t="str">
        <x:v>Aquatics - Lessons</x:v>
      </x:c>
      <x:c r="E312" s="7" t="str">
        <x:v>active</x:v>
      </x:c>
      <x:c r="F312" s="7" t="str">
        <x:v>2026-09-08</x:v>
      </x:c>
      <x:c r="G312" s="7" t="str">
        <x:v>2026-10-08</x:v>
      </x:c>
      <x:c r="H312" s="7" t="n">
        <x:v>5</x:v>
      </x:c>
      <x:c r="I312" s="7" t="n">
        <x:v>6</x:v>
      </x:c>
      <x:c r="J312" s="7" t="n">
        <x:v>5</x:v>
      </x:c>
      <x:c r="K312" s="7" t="str">
        <x:v>unverified-denominator</x:v>
      </x:c>
      <x:c r="L312" s="7" t="d">
        <x:v>2026-09-16T05:12:38.111Z</x:v>
      </x:c>
      <x:c r="M312" s="7" t="str">
        <x:v>https://apm.activecommunities.com/portlandparks/Activity_Search/epcc---pre---penguin/208130?locale=en-US</x:v>
      </x:c>
    </x:row>
    <x:row r="313" ht="38" customHeight="1">
      <x:c r="A313" s="8" t="str">
        <x:v>208131</x:v>
      </x:c>
      <x:c r="B313" s="11" t="str">
        <x:v>EPCC - Pre - Penguin</x:v>
      </x:c>
      <x:c r="C313" s="11" t="str">
        <x:v>East Portland Indoor Pool</x:v>
      </x:c>
      <x:c r="D313" s="11" t="str">
        <x:v>Aquatics - Lessons</x:v>
      </x:c>
      <x:c r="E313" s="8" t="str">
        <x:v>active</x:v>
      </x:c>
      <x:c r="F313" s="8" t="str">
        <x:v>2026-09-08</x:v>
      </x:c>
      <x:c r="G313" s="8" t="str">
        <x:v>2026-10-08</x:v>
      </x:c>
      <x:c r="H313" s="8" t="n">
        <x:v>5</x:v>
      </x:c>
      <x:c r="I313" s="8" t="n">
        <x:v>3</x:v>
      </x:c>
      <x:c r="J313" s="8" t="n">
        <x:v>5</x:v>
      </x:c>
      <x:c r="K313" s="8" t="str">
        <x:v>unverified-denominator</x:v>
      </x:c>
      <x:c r="L313" s="8" t="d">
        <x:v>2026-09-16T05:12:38.111Z</x:v>
      </x:c>
      <x:c r="M313" s="8" t="str">
        <x:v>https://apm.activecommunities.com/portlandparks/Activity_Search/epcc---pre---penguin/208131?locale=en-US</x:v>
      </x:c>
    </x:row>
    <x:row r="314" ht="38" customHeight="1">
      <x:c r="A314" s="7" t="str">
        <x:v>208157</x:v>
      </x:c>
      <x:c r="B314" s="12" t="str">
        <x:v>EPCC - Pre - Penguin</x:v>
      </x:c>
      <x:c r="C314" s="12" t="str">
        <x:v>East Portland Indoor Pool</x:v>
      </x:c>
      <x:c r="D314" s="12" t="str">
        <x:v>Aquatics - Lessons</x:v>
      </x:c>
      <x:c r="E314" s="7" t="str">
        <x:v>future</x:v>
      </x:c>
      <x:c r="F314" s="7" t="str">
        <x:v>2026-11-16</x:v>
      </x:c>
      <x:c r="G314" s="7" t="str">
        <x:v>2026-12-09</x:v>
      </x:c>
      <x:c r="H314" s="7" t="n">
        <x:v>0</x:v>
      </x:c>
      <x:c r="I314" s="7"/>
      <x:c r="J314" s="7" t="n">
        <x:v>5</x:v>
      </x:c>
      <x:c r="K314" s="7" t="str">
        <x:v>unverified-denominator</x:v>
      </x:c>
      <x:c r="L314" s="7" t="d">
        <x:v>2026-09-16T05:12:38.111Z</x:v>
      </x:c>
      <x:c r="M314" s="7" t="str">
        <x:v>https://apm.activecommunities.com/portlandparks/Activity_Search/epcc---pre---penguin/208157?locale=en-US</x:v>
      </x:c>
    </x:row>
    <x:row r="315" ht="38" customHeight="1">
      <x:c r="A315" s="8" t="str">
        <x:v>207693</x:v>
      </x:c>
      <x:c r="B315" s="11" t="str">
        <x:v>EPCC - Pre - Penguin</x:v>
      </x:c>
      <x:c r="C315" s="11" t="str">
        <x:v>East Portland Indoor Pool</x:v>
      </x:c>
      <x:c r="D315" s="11" t="str">
        <x:v>Aquatics - Lessons</x:v>
      </x:c>
      <x:c r="E315" s="8" t="str">
        <x:v>active</x:v>
      </x:c>
      <x:c r="F315" s="8" t="str">
        <x:v>2026-09-08</x:v>
      </x:c>
      <x:c r="G315" s="8" t="str">
        <x:v>2026-10-08</x:v>
      </x:c>
      <x:c r="H315" s="8" t="n">
        <x:v>4</x:v>
      </x:c>
      <x:c r="I315" s="8"/>
      <x:c r="J315" s="8" t="n">
        <x:v>5</x:v>
      </x:c>
      <x:c r="K315" s="8" t="str">
        <x:v>unverified-denominator</x:v>
      </x:c>
      <x:c r="L315" s="8" t="d">
        <x:v>2026-09-16T05:12:38.111Z</x:v>
      </x:c>
      <x:c r="M315" s="8" t="str">
        <x:v>https://apm.activecommunities.com/portlandparks/Activity_Search/epcc---pre---penguin/207693?locale=en-US</x:v>
      </x:c>
    </x:row>
    <x:row r="316" ht="38" customHeight="1">
      <x:c r="A316" s="7" t="str">
        <x:v>207696</x:v>
      </x:c>
      <x:c r="B316" s="12" t="str">
        <x:v>EPCC - Pre - Penguin</x:v>
      </x:c>
      <x:c r="C316" s="12" t="str">
        <x:v>East Portland Indoor Pool</x:v>
      </x:c>
      <x:c r="D316" s="12" t="str">
        <x:v>Aquatics - Lessons</x:v>
      </x:c>
      <x:c r="E316" s="7" t="str">
        <x:v>future</x:v>
      </x:c>
      <x:c r="F316" s="7" t="str">
        <x:v>2026-11-16</x:v>
      </x:c>
      <x:c r="G316" s="7" t="str">
        <x:v>2026-12-09</x:v>
      </x:c>
      <x:c r="H316" s="7" t="n">
        <x:v>0</x:v>
      </x:c>
      <x:c r="I316" s="7"/>
      <x:c r="J316" s="7" t="n">
        <x:v>5</x:v>
      </x:c>
      <x:c r="K316" s="7" t="str">
        <x:v>unverified-denominator</x:v>
      </x:c>
      <x:c r="L316" s="7" t="d">
        <x:v>2026-09-16T05:12:38.111Z</x:v>
      </x:c>
      <x:c r="M316" s="7" t="str">
        <x:v>https://apm.activecommunities.com/portlandparks/Activity_Search/epcc---pre---penguin/207696?locale=en-US</x:v>
      </x:c>
    </x:row>
    <x:row r="317" ht="38" customHeight="1">
      <x:c r="A317" s="8" t="str">
        <x:v>207687</x:v>
      </x:c>
      <x:c r="B317" s="11" t="str">
        <x:v>EPCC - Pre - Penguin</x:v>
      </x:c>
      <x:c r="C317" s="11" t="str">
        <x:v>East Portland Indoor Pool</x:v>
      </x:c>
      <x:c r="D317" s="11" t="str">
        <x:v>Aquatics - Lessons</x:v>
      </x:c>
      <x:c r="E317" s="8" t="str">
        <x:v>active</x:v>
      </x:c>
      <x:c r="F317" s="8" t="str">
        <x:v>2026-09-09</x:v>
      </x:c>
      <x:c r="G317" s="8" t="str">
        <x:v>2026-10-07</x:v>
      </x:c>
      <x:c r="H317" s="8" t="n">
        <x:v>5</x:v>
      </x:c>
      <x:c r="I317" s="8" t="n">
        <x:v>1</x:v>
      </x:c>
      <x:c r="J317" s="8" t="n">
        <x:v>5</x:v>
      </x:c>
      <x:c r="K317" s="8" t="str">
        <x:v>unverified-denominator</x:v>
      </x:c>
      <x:c r="L317" s="8" t="d">
        <x:v>2026-09-16T05:12:38.111Z</x:v>
      </x:c>
      <x:c r="M317" s="8" t="str">
        <x:v>https://apm.activecommunities.com/portlandparks/Activity_Search/epcc---pre---penguin/207687?locale=en-US</x:v>
      </x:c>
    </x:row>
    <x:row r="318" ht="38" customHeight="1">
      <x:c r="A318" s="7" t="str">
        <x:v>208159</x:v>
      </x:c>
      <x:c r="B318" s="12" t="str">
        <x:v>EPCC - Pre - Seal</x:v>
      </x:c>
      <x:c r="C318" s="12" t="str">
        <x:v>East Portland Indoor Pool</x:v>
      </x:c>
      <x:c r="D318" s="12" t="str">
        <x:v>Aquatics - Lessons</x:v>
      </x:c>
      <x:c r="E318" s="7" t="str">
        <x:v>future</x:v>
      </x:c>
      <x:c r="F318" s="7" t="str">
        <x:v>2026-11-16</x:v>
      </x:c>
      <x:c r="G318" s="7" t="str">
        <x:v>2026-12-09</x:v>
      </x:c>
      <x:c r="H318" s="7" t="n">
        <x:v>0</x:v>
      </x:c>
      <x:c r="I318" s="7"/>
      <x:c r="J318" s="7" t="n">
        <x:v>5</x:v>
      </x:c>
      <x:c r="K318" s="7" t="str">
        <x:v>unverified-denominator</x:v>
      </x:c>
      <x:c r="L318" s="7" t="d">
        <x:v>2026-09-16T05:12:38.111Z</x:v>
      </x:c>
      <x:c r="M318" s="7" t="str">
        <x:v>https://apm.activecommunities.com/portlandparks/Activity_Search/epcc---pre---seal/208159?locale=en-US</x:v>
      </x:c>
    </x:row>
    <x:row r="319" ht="38" customHeight="1">
      <x:c r="A319" s="8" t="str">
        <x:v>208134</x:v>
      </x:c>
      <x:c r="B319" s="11" t="str">
        <x:v>EPCC - Pre - Seal</x:v>
      </x:c>
      <x:c r="C319" s="11" t="str">
        <x:v>East Portland Indoor Pool</x:v>
      </x:c>
      <x:c r="D319" s="11" t="str">
        <x:v>Aquatics - Lessons</x:v>
      </x:c>
      <x:c r="E319" s="8" t="str">
        <x:v>active</x:v>
      </x:c>
      <x:c r="F319" s="8" t="str">
        <x:v>2026-09-08</x:v>
      </x:c>
      <x:c r="G319" s="8" t="str">
        <x:v>2026-10-08</x:v>
      </x:c>
      <x:c r="H319" s="8" t="n">
        <x:v>5</x:v>
      </x:c>
      <x:c r="I319" s="8" t="n">
        <x:v>5</x:v>
      </x:c>
      <x:c r="J319" s="8" t="n">
        <x:v>5</x:v>
      </x:c>
      <x:c r="K319" s="8" t="str">
        <x:v>unverified-denominator</x:v>
      </x:c>
      <x:c r="L319" s="8" t="d">
        <x:v>2026-09-16T05:12:38.111Z</x:v>
      </x:c>
      <x:c r="M319" s="8" t="str">
        <x:v>https://apm.activecommunities.com/portlandparks/Activity_Search/epcc---pre---seal/208134?locale=en-US</x:v>
      </x:c>
    </x:row>
    <x:row r="320" ht="38" customHeight="1">
      <x:c r="A320" s="7" t="str">
        <x:v>208169</x:v>
      </x:c>
      <x:c r="B320" s="12" t="str">
        <x:v>EPCC - Pre - Seal</x:v>
      </x:c>
      <x:c r="C320" s="12" t="str">
        <x:v>East Portland Indoor Pool</x:v>
      </x:c>
      <x:c r="D320" s="12" t="str">
        <x:v>Aquatics - Lessons</x:v>
      </x:c>
      <x:c r="E320" s="7" t="str">
        <x:v>future</x:v>
      </x:c>
      <x:c r="F320" s="7" t="str">
        <x:v>2026-11-17</x:v>
      </x:c>
      <x:c r="G320" s="7" t="str">
        <x:v>2026-12-10</x:v>
      </x:c>
      <x:c r="H320" s="7" t="n">
        <x:v>0</x:v>
      </x:c>
      <x:c r="I320" s="7"/>
      <x:c r="J320" s="7" t="n">
        <x:v>5</x:v>
      </x:c>
      <x:c r="K320" s="7" t="str">
        <x:v>unverified-denominator</x:v>
      </x:c>
      <x:c r="L320" s="7" t="d">
        <x:v>2026-09-16T05:12:38.111Z</x:v>
      </x:c>
      <x:c r="M320" s="7" t="str">
        <x:v>https://apm.activecommunities.com/portlandparks/Activity_Search/epcc---pre---seal/208169?locale=en-US</x:v>
      </x:c>
    </x:row>
    <x:row r="321" ht="38" customHeight="1">
      <x:c r="A321" s="8" t="str">
        <x:v>208112</x:v>
      </x:c>
      <x:c r="B321" s="11" t="str">
        <x:v>EPCC - Pre - Seal</x:v>
      </x:c>
      <x:c r="C321" s="11" t="str">
        <x:v>East Portland Indoor Pool</x:v>
      </x:c>
      <x:c r="D321" s="11" t="str">
        <x:v>Aquatics - Lessons</x:v>
      </x:c>
      <x:c r="E321" s="8" t="str">
        <x:v>active</x:v>
      </x:c>
      <x:c r="F321" s="8" t="str">
        <x:v>2026-09-09</x:v>
      </x:c>
      <x:c r="G321" s="8" t="str">
        <x:v>2026-10-07</x:v>
      </x:c>
      <x:c r="H321" s="8" t="n">
        <x:v>5</x:v>
      </x:c>
      <x:c r="I321" s="8" t="n">
        <x:v>6</x:v>
      </x:c>
      <x:c r="J321" s="8" t="n">
        <x:v>5</x:v>
      </x:c>
      <x:c r="K321" s="8" t="str">
        <x:v>unverified-denominator</x:v>
      </x:c>
      <x:c r="L321" s="8" t="d">
        <x:v>2026-09-16T05:12:38.111Z</x:v>
      </x:c>
      <x:c r="M321" s="8" t="str">
        <x:v>https://apm.activecommunities.com/portlandparks/Activity_Search/epcc---pre---seal/208112?locale=en-US</x:v>
      </x:c>
    </x:row>
    <x:row r="322" ht="38" customHeight="1">
      <x:c r="A322" s="7" t="str">
        <x:v>208115</x:v>
      </x:c>
      <x:c r="B322" s="12" t="str">
        <x:v>EPCC - Sea Lion</x:v>
      </x:c>
      <x:c r="C322" s="12" t="str">
        <x:v>East Portland Indoor Pool</x:v>
      </x:c>
      <x:c r="D322" s="12" t="str">
        <x:v>Aquatics - Lessons</x:v>
      </x:c>
      <x:c r="E322" s="7" t="str">
        <x:v>active</x:v>
      </x:c>
      <x:c r="F322" s="7" t="str">
        <x:v>2026-09-09</x:v>
      </x:c>
      <x:c r="G322" s="7" t="str">
        <x:v>2026-10-07</x:v>
      </x:c>
      <x:c r="H322" s="7" t="n">
        <x:v>8</x:v>
      </x:c>
      <x:c r="I322" s="7" t="n">
        <x:v>2</x:v>
      </x:c>
      <x:c r="J322" s="7" t="n">
        <x:v>8</x:v>
      </x:c>
      <x:c r="K322" s="7" t="str">
        <x:v>unverified-denominator</x:v>
      </x:c>
      <x:c r="L322" s="7" t="d">
        <x:v>2026-09-16T05:12:38.111Z</x:v>
      </x:c>
      <x:c r="M322" s="7" t="str">
        <x:v>https://apm.activecommunities.com/portlandparks/Activity_Search/epcc---sea-lion/208115?locale=en-US</x:v>
      </x:c>
    </x:row>
    <x:row r="323" ht="38" customHeight="1">
      <x:c r="A323" s="8" t="str">
        <x:v>208178</x:v>
      </x:c>
      <x:c r="B323" s="11" t="str">
        <x:v>EPCC - Sea Lion</x:v>
      </x:c>
      <x:c r="C323" s="11" t="str">
        <x:v>East Portland Indoor Pool</x:v>
      </x:c>
      <x:c r="D323" s="11" t="str">
        <x:v>Aquatics - Lessons</x:v>
      </x:c>
      <x:c r="E323" s="8" t="str">
        <x:v>future</x:v>
      </x:c>
      <x:c r="F323" s="8" t="str">
        <x:v>2026-11-17</x:v>
      </x:c>
      <x:c r="G323" s="8" t="str">
        <x:v>2026-12-10</x:v>
      </x:c>
      <x:c r="H323" s="8" t="n">
        <x:v>0</x:v>
      </x:c>
      <x:c r="I323" s="8"/>
      <x:c r="J323" s="8" t="n">
        <x:v>8</x:v>
      </x:c>
      <x:c r="K323" s="8" t="str">
        <x:v>unverified-denominator</x:v>
      </x:c>
      <x:c r="L323" s="8" t="d">
        <x:v>2026-09-16T05:12:38.111Z</x:v>
      </x:c>
      <x:c r="M323" s="8" t="str">
        <x:v>https://apm.activecommunities.com/portlandparks/Activity_Search/epcc---sea-lion/208178?locale=en-US</x:v>
      </x:c>
    </x:row>
    <x:row r="324" ht="38" customHeight="1">
      <x:c r="A324" s="7" t="str">
        <x:v>208151</x:v>
      </x:c>
      <x:c r="B324" s="12" t="str">
        <x:v>EPCC - Sea Lion</x:v>
      </x:c>
      <x:c r="C324" s="12" t="str">
        <x:v>East Portland Indoor Pool</x:v>
      </x:c>
      <x:c r="D324" s="12" t="str">
        <x:v>Aquatics - Lessons</x:v>
      </x:c>
      <x:c r="E324" s="7" t="str">
        <x:v>future</x:v>
      </x:c>
      <x:c r="F324" s="7" t="str">
        <x:v>2026-11-16</x:v>
      </x:c>
      <x:c r="G324" s="7" t="str">
        <x:v>2026-12-09</x:v>
      </x:c>
      <x:c r="H324" s="7" t="n">
        <x:v>0</x:v>
      </x:c>
      <x:c r="I324" s="7"/>
      <x:c r="J324" s="7" t="n">
        <x:v>8</x:v>
      </x:c>
      <x:c r="K324" s="7" t="str">
        <x:v>unverified-denominator</x:v>
      </x:c>
      <x:c r="L324" s="7" t="d">
        <x:v>2026-09-16T05:12:38.111Z</x:v>
      </x:c>
      <x:c r="M324" s="7" t="str">
        <x:v>https://apm.activecommunities.com/portlandparks/Activity_Search/epcc---sea-lion/208151?locale=en-US</x:v>
      </x:c>
    </x:row>
    <x:row r="325" ht="38" customHeight="1">
      <x:c r="A325" s="8" t="str">
        <x:v>208141</x:v>
      </x:c>
      <x:c r="B325" s="11" t="str">
        <x:v>EPCC - Sea Lion</x:v>
      </x:c>
      <x:c r="C325" s="11" t="str">
        <x:v>East Portland Indoor Pool</x:v>
      </x:c>
      <x:c r="D325" s="11" t="str">
        <x:v>Aquatics - Lessons</x:v>
      </x:c>
      <x:c r="E325" s="8" t="str">
        <x:v>active</x:v>
      </x:c>
      <x:c r="F325" s="8" t="str">
        <x:v>2026-09-08</x:v>
      </x:c>
      <x:c r="G325" s="8" t="str">
        <x:v>2026-10-08</x:v>
      </x:c>
      <x:c r="H325" s="8" t="n">
        <x:v>6</x:v>
      </x:c>
      <x:c r="I325" s="8" t="n">
        <x:v>3</x:v>
      </x:c>
      <x:c r="J325" s="8" t="n">
        <x:v>8</x:v>
      </x:c>
      <x:c r="K325" s="8" t="str">
        <x:v>unverified-denominator</x:v>
      </x:c>
      <x:c r="L325" s="8" t="d">
        <x:v>2026-09-16T05:12:38.111Z</x:v>
      </x:c>
      <x:c r="M325" s="8" t="str">
        <x:v>https://apm.activecommunities.com/portlandparks/Activity_Search/epcc---sea-lion/208141?locale=en-US</x:v>
      </x:c>
    </x:row>
    <x:row r="326" ht="38" customHeight="1">
      <x:c r="A326" s="7" t="str">
        <x:v>208147</x:v>
      </x:c>
      <x:c r="B326" s="12" t="str">
        <x:v>EPCC - Seal</x:v>
      </x:c>
      <x:c r="C326" s="12" t="str">
        <x:v>East Portland Indoor Pool</x:v>
      </x:c>
      <x:c r="D326" s="12" t="str">
        <x:v>Aquatics - Lessons</x:v>
      </x:c>
      <x:c r="E326" s="7" t="str">
        <x:v>future</x:v>
      </x:c>
      <x:c r="F326" s="7" t="str">
        <x:v>2026-11-16</x:v>
      </x:c>
      <x:c r="G326" s="7" t="str">
        <x:v>2026-12-09</x:v>
      </x:c>
      <x:c r="H326" s="7" t="n">
        <x:v>0</x:v>
      </x:c>
      <x:c r="I326" s="7"/>
      <x:c r="J326" s="7" t="n">
        <x:v>6</x:v>
      </x:c>
      <x:c r="K326" s="7" t="str">
        <x:v>unverified-denominator</x:v>
      </x:c>
      <x:c r="L326" s="7" t="d">
        <x:v>2026-09-16T05:12:38.111Z</x:v>
      </x:c>
      <x:c r="M326" s="7" t="str">
        <x:v>https://apm.activecommunities.com/portlandparks/Activity_Search/epcc---seal/208147?locale=en-US</x:v>
      </x:c>
    </x:row>
    <x:row r="327" ht="38" customHeight="1">
      <x:c r="A327" s="8" t="str">
        <x:v>208138</x:v>
      </x:c>
      <x:c r="B327" s="11" t="str">
        <x:v>EPCC - Seal</x:v>
      </x:c>
      <x:c r="C327" s="11" t="str">
        <x:v>East Portland Indoor Pool</x:v>
      </x:c>
      <x:c r="D327" s="11" t="str">
        <x:v>Aquatics - Lessons</x:v>
      </x:c>
      <x:c r="E327" s="8" t="str">
        <x:v>active</x:v>
      </x:c>
      <x:c r="F327" s="8" t="str">
        <x:v>2026-09-08</x:v>
      </x:c>
      <x:c r="G327" s="8" t="str">
        <x:v>2026-10-08</x:v>
      </x:c>
      <x:c r="H327" s="8" t="n">
        <x:v>4</x:v>
      </x:c>
      <x:c r="I327" s="8" t="n">
        <x:v>7</x:v>
      </x:c>
      <x:c r="J327" s="8" t="n">
        <x:v>6</x:v>
      </x:c>
      <x:c r="K327" s="8" t="str">
        <x:v>unverified-denominator</x:v>
      </x:c>
      <x:c r="L327" s="8" t="d">
        <x:v>2026-09-16T05:12:38.111Z</x:v>
      </x:c>
      <x:c r="M327" s="8" t="str">
        <x:v>https://apm.activecommunities.com/portlandparks/Activity_Search/epcc---seal/208138?locale=en-US</x:v>
      </x:c>
    </x:row>
    <x:row r="328" ht="38" customHeight="1">
      <x:c r="A328" s="7" t="str">
        <x:v>208139</x:v>
      </x:c>
      <x:c r="B328" s="12" t="str">
        <x:v>EPCC - Seal</x:v>
      </x:c>
      <x:c r="C328" s="12" t="str">
        <x:v>East Portland Indoor Pool</x:v>
      </x:c>
      <x:c r="D328" s="12" t="str">
        <x:v>Aquatics - Lessons</x:v>
      </x:c>
      <x:c r="E328" s="7" t="str">
        <x:v>active</x:v>
      </x:c>
      <x:c r="F328" s="7" t="str">
        <x:v>2026-09-08</x:v>
      </x:c>
      <x:c r="G328" s="7" t="str">
        <x:v>2026-10-08</x:v>
      </x:c>
      <x:c r="H328" s="7" t="n">
        <x:v>6</x:v>
      </x:c>
      <x:c r="I328" s="7" t="n">
        <x:v>9</x:v>
      </x:c>
      <x:c r="J328" s="7" t="n">
        <x:v>6</x:v>
      </x:c>
      <x:c r="K328" s="7" t="str">
        <x:v>unverified-denominator</x:v>
      </x:c>
      <x:c r="L328" s="7" t="d">
        <x:v>2026-09-16T05:12:38.111Z</x:v>
      </x:c>
      <x:c r="M328" s="7" t="str">
        <x:v>https://apm.activecommunities.com/portlandparks/Activity_Search/epcc---seal/208139?locale=en-US</x:v>
      </x:c>
    </x:row>
    <x:row r="329" ht="38" customHeight="1">
      <x:c r="A329" s="8" t="str">
        <x:v>208173</x:v>
      </x:c>
      <x:c r="B329" s="11" t="str">
        <x:v>EPCC - Seal</x:v>
      </x:c>
      <x:c r="C329" s="11" t="str">
        <x:v>East Portland Indoor Pool</x:v>
      </x:c>
      <x:c r="D329" s="11" t="str">
        <x:v>Aquatics - Lessons</x:v>
      </x:c>
      <x:c r="E329" s="8" t="str">
        <x:v>future</x:v>
      </x:c>
      <x:c r="F329" s="8" t="str">
        <x:v>2026-11-17</x:v>
      </x:c>
      <x:c r="G329" s="8" t="str">
        <x:v>2026-12-10</x:v>
      </x:c>
      <x:c r="H329" s="8" t="n">
        <x:v>0</x:v>
      </x:c>
      <x:c r="I329" s="8"/>
      <x:c r="J329" s="8" t="n">
        <x:v>6</x:v>
      </x:c>
      <x:c r="K329" s="8" t="str">
        <x:v>unverified-denominator</x:v>
      </x:c>
      <x:c r="L329" s="8" t="d">
        <x:v>2026-09-16T05:12:38.111Z</x:v>
      </x:c>
      <x:c r="M329" s="8" t="str">
        <x:v>https://apm.activecommunities.com/portlandparks/Activity_Search/epcc---seal/208173?locale=en-US</x:v>
      </x:c>
    </x:row>
    <x:row r="330" ht="38" customHeight="1">
      <x:c r="A330" s="7" t="str">
        <x:v>208162</x:v>
      </x:c>
      <x:c r="B330" s="12" t="str">
        <x:v>EPCC - Seal</x:v>
      </x:c>
      <x:c r="C330" s="12" t="str">
        <x:v>East Portland Indoor Pool</x:v>
      </x:c>
      <x:c r="D330" s="12" t="str">
        <x:v>Aquatics - Lessons</x:v>
      </x:c>
      <x:c r="E330" s="7" t="str">
        <x:v>future</x:v>
      </x:c>
      <x:c r="F330" s="7" t="str">
        <x:v>2026-11-16</x:v>
      </x:c>
      <x:c r="G330" s="7" t="str">
        <x:v>2026-12-09</x:v>
      </x:c>
      <x:c r="H330" s="7" t="n">
        <x:v>0</x:v>
      </x:c>
      <x:c r="I330" s="7"/>
      <x:c r="J330" s="7" t="n">
        <x:v>6</x:v>
      </x:c>
      <x:c r="K330" s="7" t="str">
        <x:v>unverified-denominator</x:v>
      </x:c>
      <x:c r="L330" s="7" t="d">
        <x:v>2026-09-16T05:12:38.111Z</x:v>
      </x:c>
      <x:c r="M330" s="7" t="str">
        <x:v>https://apm.activecommunities.com/portlandparks/Activity_Search/epcc---seal/208162?locale=en-US</x:v>
      </x:c>
    </x:row>
    <x:row r="331" ht="38" customHeight="1">
      <x:c r="A331" s="8" t="str">
        <x:v>208186</x:v>
      </x:c>
      <x:c r="B331" s="11" t="str">
        <x:v>EPCC - Seal</x:v>
      </x:c>
      <x:c r="C331" s="11" t="str">
        <x:v>East Portland Indoor Pool</x:v>
      </x:c>
      <x:c r="D331" s="11" t="str">
        <x:v>Aquatics - Lessons</x:v>
      </x:c>
      <x:c r="E331" s="8" t="str">
        <x:v>future</x:v>
      </x:c>
      <x:c r="F331" s="8" t="str">
        <x:v>2026-11-17</x:v>
      </x:c>
      <x:c r="G331" s="8" t="str">
        <x:v>2026-12-10</x:v>
      </x:c>
      <x:c r="H331" s="8" t="n">
        <x:v>0</x:v>
      </x:c>
      <x:c r="I331" s="8"/>
      <x:c r="J331" s="8" t="n">
        <x:v>6</x:v>
      </x:c>
      <x:c r="K331" s="8" t="str">
        <x:v>unverified-denominator</x:v>
      </x:c>
      <x:c r="L331" s="8" t="d">
        <x:v>2026-09-16T05:12:38.111Z</x:v>
      </x:c>
      <x:c r="M331" s="8" t="str">
        <x:v>https://apm.activecommunities.com/portlandparks/Activity_Search/epcc---seal/208186?locale=en-US</x:v>
      </x:c>
    </x:row>
    <x:row r="332" ht="38" customHeight="1">
      <x:c r="A332" s="7" t="str">
        <x:v>208122</x:v>
      </x:c>
      <x:c r="B332" s="12" t="str">
        <x:v>EPCC - Seal</x:v>
      </x:c>
      <x:c r="C332" s="12" t="str">
        <x:v>East Portland Indoor Pool</x:v>
      </x:c>
      <x:c r="D332" s="12" t="str">
        <x:v>Aquatics - Lessons</x:v>
      </x:c>
      <x:c r="E332" s="7" t="str">
        <x:v>active</x:v>
      </x:c>
      <x:c r="F332" s="7" t="str">
        <x:v>2026-09-09</x:v>
      </x:c>
      <x:c r="G332" s="7" t="str">
        <x:v>2026-10-07</x:v>
      </x:c>
      <x:c r="H332" s="7" t="n">
        <x:v>5</x:v>
      </x:c>
      <x:c r="I332" s="7" t="n">
        <x:v>10</x:v>
      </x:c>
      <x:c r="J332" s="7" t="n">
        <x:v>6</x:v>
      </x:c>
      <x:c r="K332" s="7" t="str">
        <x:v>unverified-denominator</x:v>
      </x:c>
      <x:c r="L332" s="7" t="d">
        <x:v>2026-09-16T05:12:38.111Z</x:v>
      </x:c>
      <x:c r="M332" s="7" t="str">
        <x:v>https://apm.activecommunities.com/portlandparks/Activity_Search/epcc---seal/208122?locale=en-US</x:v>
      </x:c>
    </x:row>
    <x:row r="333" ht="38" customHeight="1">
      <x:c r="A333" s="8" t="str">
        <x:v>208113</x:v>
      </x:c>
      <x:c r="B333" s="11" t="str">
        <x:v>EPCC - Seal</x:v>
      </x:c>
      <x:c r="C333" s="11" t="str">
        <x:v>East Portland Indoor Pool</x:v>
      </x:c>
      <x:c r="D333" s="11" t="str">
        <x:v>Aquatics - Lessons</x:v>
      </x:c>
      <x:c r="E333" s="8" t="str">
        <x:v>active</x:v>
      </x:c>
      <x:c r="F333" s="8" t="str">
        <x:v>2026-09-09</x:v>
      </x:c>
      <x:c r="G333" s="8" t="str">
        <x:v>2026-10-07</x:v>
      </x:c>
      <x:c r="H333" s="8" t="n">
        <x:v>5</x:v>
      </x:c>
      <x:c r="I333" s="8" t="n">
        <x:v>7</x:v>
      </x:c>
      <x:c r="J333" s="8" t="n">
        <x:v>6</x:v>
      </x:c>
      <x:c r="K333" s="8" t="str">
        <x:v>unverified-denominator</x:v>
      </x:c>
      <x:c r="L333" s="8" t="d">
        <x:v>2026-09-16T05:12:38.111Z</x:v>
      </x:c>
      <x:c r="M333" s="8" t="str">
        <x:v>https://apm.activecommunities.com/portlandparks/Activity_Search/epcc---seal/208113?locale=en-US</x:v>
      </x:c>
    </x:row>
    <x:row r="334" ht="38" customHeight="1">
      <x:c r="A334" s="7" t="str">
        <x:v>209060</x:v>
      </x:c>
      <x:c r="B334" s="12" t="str">
        <x:v>EPCC - Seal</x:v>
      </x:c>
      <x:c r="C334" s="12" t="str">
        <x:v>East Portland Indoor Pool</x:v>
      </x:c>
      <x:c r="D334" s="12" t="str">
        <x:v>Aquatics - Lessons</x:v>
      </x:c>
      <x:c r="E334" s="7" t="str">
        <x:v>active</x:v>
      </x:c>
      <x:c r="F334" s="7" t="str">
        <x:v>2026-09-08</x:v>
      </x:c>
      <x:c r="G334" s="7" t="str">
        <x:v>2026-10-08</x:v>
      </x:c>
      <x:c r="H334" s="7" t="n">
        <x:v>6</x:v>
      </x:c>
      <x:c r="I334" s="7" t="n">
        <x:v>4</x:v>
      </x:c>
      <x:c r="J334" s="7" t="n">
        <x:v>6</x:v>
      </x:c>
      <x:c r="K334" s="7" t="str">
        <x:v>unverified-denominator</x:v>
      </x:c>
      <x:c r="L334" s="7" t="d">
        <x:v>2026-09-16T05:12:38.111Z</x:v>
      </x:c>
      <x:c r="M334" s="7" t="str">
        <x:v>https://apm.activecommunities.com/portlandparks/Activity_Search/epcc---seal/209060?locale=en-US</x:v>
      </x:c>
    </x:row>
    <x:row r="335" ht="38" customHeight="1">
      <x:c r="A335" s="8" t="str">
        <x:v>209175</x:v>
      </x:c>
      <x:c r="B335" s="11" t="str">
        <x:v>EPCC - Seal</x:v>
      </x:c>
      <x:c r="C335" s="11" t="str">
        <x:v>East Portland Indoor Pool</x:v>
      </x:c>
      <x:c r="D335" s="11" t="str">
        <x:v>Aquatics - Lessons</x:v>
      </x:c>
      <x:c r="E335" s="8" t="str">
        <x:v>active</x:v>
      </x:c>
      <x:c r="F335" s="8" t="str">
        <x:v>2026-09-09</x:v>
      </x:c>
      <x:c r="G335" s="8" t="str">
        <x:v>2026-10-07</x:v>
      </x:c>
      <x:c r="H335" s="8" t="n">
        <x:v>6</x:v>
      </x:c>
      <x:c r="I335" s="8" t="n">
        <x:v>2</x:v>
      </x:c>
      <x:c r="J335" s="8" t="n">
        <x:v>6</x:v>
      </x:c>
      <x:c r="K335" s="8" t="str">
        <x:v>unverified-denominator</x:v>
      </x:c>
      <x:c r="L335" s="8" t="d">
        <x:v>2026-09-16T05:12:38.111Z</x:v>
      </x:c>
      <x:c r="M335" s="8" t="str">
        <x:v>https://apm.activecommunities.com/portlandparks/Activity_Search/epcc---seal/209175?locale=en-US</x:v>
      </x:c>
    </x:row>
    <x:row r="336" ht="38" customHeight="1">
      <x:c r="A336" s="7" t="str">
        <x:v>208105</x:v>
      </x:c>
      <x:c r="B336" s="12" t="str">
        <x:v>EPCC - Starfish</x:v>
      </x:c>
      <x:c r="C336" s="12" t="str">
        <x:v>East Portland Indoor Pool</x:v>
      </x:c>
      <x:c r="D336" s="12" t="str">
        <x:v>Aquatics - Lessons</x:v>
      </x:c>
      <x:c r="E336" s="7" t="str">
        <x:v>active</x:v>
      </x:c>
      <x:c r="F336" s="7" t="str">
        <x:v>2026-09-09</x:v>
      </x:c>
      <x:c r="G336" s="7" t="str">
        <x:v>2026-10-07</x:v>
      </x:c>
      <x:c r="H336" s="7" t="n">
        <x:v>11</x:v>
      </x:c>
      <x:c r="I336" s="7" t="n">
        <x:v>4</x:v>
      </x:c>
      <x:c r="J336" s="7" t="n">
        <x:v>12</x:v>
      </x:c>
      <x:c r="K336" s="7" t="str">
        <x:v>unverified-denominator</x:v>
      </x:c>
      <x:c r="L336" s="7" t="d">
        <x:v>2026-09-16T05:12:38.111Z</x:v>
      </x:c>
      <x:c r="M336" s="7" t="str">
        <x:v>https://apm.activecommunities.com/portlandparks/Activity_Search/epcc---starfish/208105?locale=en-US</x:v>
      </x:c>
    </x:row>
    <x:row r="337" ht="38" customHeight="1">
      <x:c r="A337" s="8" t="str">
        <x:v>208101</x:v>
      </x:c>
      <x:c r="B337" s="11" t="str">
        <x:v>EPCC - Starfish</x:v>
      </x:c>
      <x:c r="C337" s="11" t="str">
        <x:v>East Portland Indoor Pool</x:v>
      </x:c>
      <x:c r="D337" s="11" t="str">
        <x:v>Aquatics - Lessons</x:v>
      </x:c>
      <x:c r="E337" s="8" t="str">
        <x:v>future</x:v>
      </x:c>
      <x:c r="F337" s="8" t="str">
        <x:v>2026-11-17</x:v>
      </x:c>
      <x:c r="G337" s="8" t="str">
        <x:v>2026-12-10</x:v>
      </x:c>
      <x:c r="H337" s="8" t="n">
        <x:v>0</x:v>
      </x:c>
      <x:c r="I337" s="8"/>
      <x:c r="J337" s="8" t="n">
        <x:v>12</x:v>
      </x:c>
      <x:c r="K337" s="8" t="str">
        <x:v>unverified-denominator</x:v>
      </x:c>
      <x:c r="L337" s="8" t="d">
        <x:v>2026-09-16T05:12:38.111Z</x:v>
      </x:c>
      <x:c r="M337" s="8" t="str">
        <x:v>https://apm.activecommunities.com/portlandparks/Activity_Search/epcc---starfish/208101?locale=en-US</x:v>
      </x:c>
    </x:row>
    <x:row r="338" ht="38" customHeight="1">
      <x:c r="A338" s="7" t="str">
        <x:v>208165</x:v>
      </x:c>
      <x:c r="B338" s="12" t="str">
        <x:v>EPCC - Starfish</x:v>
      </x:c>
      <x:c r="C338" s="12" t="str">
        <x:v>East Portland Indoor Pool</x:v>
      </x:c>
      <x:c r="D338" s="12" t="str">
        <x:v>Aquatics - Lessons</x:v>
      </x:c>
      <x:c r="E338" s="7" t="str">
        <x:v>future</x:v>
      </x:c>
      <x:c r="F338" s="7" t="str">
        <x:v>2026-11-17</x:v>
      </x:c>
      <x:c r="G338" s="7" t="str">
        <x:v>2026-12-10</x:v>
      </x:c>
      <x:c r="H338" s="7" t="n">
        <x:v>0</x:v>
      </x:c>
      <x:c r="I338" s="7"/>
      <x:c r="J338" s="7" t="n">
        <x:v>12</x:v>
      </x:c>
      <x:c r="K338" s="7" t="str">
        <x:v>unverified-denominator</x:v>
      </x:c>
      <x:c r="L338" s="7" t="d">
        <x:v>2026-09-16T05:12:38.111Z</x:v>
      </x:c>
      <x:c r="M338" s="7" t="str">
        <x:v>https://apm.activecommunities.com/portlandparks/Activity_Search/epcc---starfish/208165?locale=en-US</x:v>
      </x:c>
    </x:row>
    <x:row r="339" ht="38" customHeight="1">
      <x:c r="A339" s="8" t="str">
        <x:v>208127</x:v>
      </x:c>
      <x:c r="B339" s="11" t="str">
        <x:v>EPCC - Starfish</x:v>
      </x:c>
      <x:c r="C339" s="11" t="str">
        <x:v>East Portland Indoor Pool</x:v>
      </x:c>
      <x:c r="D339" s="11" t="str">
        <x:v>Aquatics - Lessons</x:v>
      </x:c>
      <x:c r="E339" s="8" t="str">
        <x:v>active</x:v>
      </x:c>
      <x:c r="F339" s="8" t="str">
        <x:v>2026-09-08</x:v>
      </x:c>
      <x:c r="G339" s="8" t="str">
        <x:v>2026-10-08</x:v>
      </x:c>
      <x:c r="H339" s="8" t="n">
        <x:v>12</x:v>
      </x:c>
      <x:c r="I339" s="8" t="n">
        <x:v>1</x:v>
      </x:c>
      <x:c r="J339" s="8" t="n">
        <x:v>12</x:v>
      </x:c>
      <x:c r="K339" s="8" t="str">
        <x:v>unverified-denominator</x:v>
      </x:c>
      <x:c r="L339" s="8" t="d">
        <x:v>2026-09-16T05:12:38.111Z</x:v>
      </x:c>
      <x:c r="M339" s="8" t="str">
        <x:v>https://apm.activecommunities.com/portlandparks/Activity_Search/epcc---starfish/208127?locale=en-US</x:v>
      </x:c>
    </x:row>
    <x:row r="340" ht="38" customHeight="1">
      <x:c r="A340" s="7" t="str">
        <x:v>208153</x:v>
      </x:c>
      <x:c r="B340" s="12" t="str">
        <x:v>EPCC - Starfish</x:v>
      </x:c>
      <x:c r="C340" s="12" t="str">
        <x:v>East Portland Indoor Pool</x:v>
      </x:c>
      <x:c r="D340" s="12" t="str">
        <x:v>Aquatics - Lessons</x:v>
      </x:c>
      <x:c r="E340" s="7" t="str">
        <x:v>future</x:v>
      </x:c>
      <x:c r="F340" s="7" t="str">
        <x:v>2026-11-16</x:v>
      </x:c>
      <x:c r="G340" s="7" t="str">
        <x:v>2026-12-09</x:v>
      </x:c>
      <x:c r="H340" s="7" t="n">
        <x:v>0</x:v>
      </x:c>
      <x:c r="I340" s="7"/>
      <x:c r="J340" s="7" t="n">
        <x:v>12</x:v>
      </x:c>
      <x:c r="K340" s="7" t="str">
        <x:v>unverified-denominator</x:v>
      </x:c>
      <x:c r="L340" s="7" t="d">
        <x:v>2026-09-16T05:12:38.111Z</x:v>
      </x:c>
      <x:c r="M340" s="7" t="str">
        <x:v>https://apm.activecommunities.com/portlandparks/Activity_Search/epcc---starfish/208153?locale=en-US</x:v>
      </x:c>
    </x:row>
    <x:row r="341" ht="38" customHeight="1">
      <x:c r="A341" s="8" t="str">
        <x:v>207694</x:v>
      </x:c>
      <x:c r="B341" s="11" t="str">
        <x:v>EPCC - Starfish</x:v>
      </x:c>
      <x:c r="C341" s="11" t="str">
        <x:v>East Portland Indoor Pool</x:v>
      </x:c>
      <x:c r="D341" s="11" t="str">
        <x:v>Aquatics - Lessons</x:v>
      </x:c>
      <x:c r="E341" s="8" t="str">
        <x:v>future</x:v>
      </x:c>
      <x:c r="F341" s="8" t="str">
        <x:v>2026-11-16</x:v>
      </x:c>
      <x:c r="G341" s="8" t="str">
        <x:v>2026-12-09</x:v>
      </x:c>
      <x:c r="H341" s="8" t="n">
        <x:v>0</x:v>
      </x:c>
      <x:c r="I341" s="8"/>
      <x:c r="J341" s="8" t="n">
        <x:v>12</x:v>
      </x:c>
      <x:c r="K341" s="8" t="str">
        <x:v>unverified-denominator</x:v>
      </x:c>
      <x:c r="L341" s="8" t="d">
        <x:v>2026-09-16T05:12:38.111Z</x:v>
      </x:c>
      <x:c r="M341" s="8" t="str">
        <x:v>https://apm.activecommunities.com/portlandparks/Activity_Search/epcc---starfish/207694?locale=en-US</x:v>
      </x:c>
    </x:row>
    <x:row r="342" ht="38" customHeight="1">
      <x:c r="A342" s="7" t="str">
        <x:v>207691</x:v>
      </x:c>
      <x:c r="B342" s="12" t="str">
        <x:v>EPCC - Starfish</x:v>
      </x:c>
      <x:c r="C342" s="12" t="str">
        <x:v>East Portland Indoor Pool</x:v>
      </x:c>
      <x:c r="D342" s="12" t="str">
        <x:v>Aquatics - Lessons</x:v>
      </x:c>
      <x:c r="E342" s="7" t="str">
        <x:v>active</x:v>
      </x:c>
      <x:c r="F342" s="7" t="str">
        <x:v>2026-09-08</x:v>
      </x:c>
      <x:c r="G342" s="7" t="str">
        <x:v>2026-10-08</x:v>
      </x:c>
      <x:c r="H342" s="7" t="n">
        <x:v>12</x:v>
      </x:c>
      <x:c r="I342" s="7"/>
      <x:c r="J342" s="7" t="n">
        <x:v>12</x:v>
      </x:c>
      <x:c r="K342" s="7" t="str">
        <x:v>unverified-denominator</x:v>
      </x:c>
      <x:c r="L342" s="7" t="d">
        <x:v>2026-09-16T05:12:38.111Z</x:v>
      </x:c>
      <x:c r="M342" s="7" t="str">
        <x:v>https://apm.activecommunities.com/portlandparks/Activity_Search/epcc---starfish/207691?locale=en-US</x:v>
      </x:c>
    </x:row>
    <x:row r="343" ht="38" customHeight="1">
      <x:c r="A343" s="8" t="str">
        <x:v>207689</x:v>
      </x:c>
      <x:c r="B343" s="11" t="str">
        <x:v>EPCC - Starfish</x:v>
      </x:c>
      <x:c r="C343" s="11" t="str">
        <x:v>East Portland Indoor Pool</x:v>
      </x:c>
      <x:c r="D343" s="11" t="str">
        <x:v>Aquatics - Lessons</x:v>
      </x:c>
      <x:c r="E343" s="8" t="str">
        <x:v>active</x:v>
      </x:c>
      <x:c r="F343" s="8" t="str">
        <x:v>2026-09-09</x:v>
      </x:c>
      <x:c r="G343" s="8" t="str">
        <x:v>2026-10-07</x:v>
      </x:c>
      <x:c r="H343" s="8" t="n">
        <x:v>9</x:v>
      </x:c>
      <x:c r="I343" s="8"/>
      <x:c r="J343" s="8" t="n">
        <x:v>12</x:v>
      </x:c>
      <x:c r="K343" s="8" t="str">
        <x:v>unverified-denominator</x:v>
      </x:c>
      <x:c r="L343" s="8" t="d">
        <x:v>2026-09-16T05:12:38.111Z</x:v>
      </x:c>
      <x:c r="M343" s="8" t="str">
        <x:v>https://apm.activecommunities.com/portlandparks/Activity_Search/epcc---starfish/207689?locale=en-US</x:v>
      </x:c>
    </x:row>
    <x:row r="344" ht="38" customHeight="1">
      <x:c r="A344" s="7" t="str">
        <x:v>208144</x:v>
      </x:c>
      <x:c r="B344" s="12" t="str">
        <x:v>EPCC - Teen Beginner</x:v>
      </x:c>
      <x:c r="C344" s="12" t="str">
        <x:v>East Portland Indoor Pool</x:v>
      </x:c>
      <x:c r="D344" s="12" t="str">
        <x:v>Aquatics - Lessons</x:v>
      </x:c>
      <x:c r="E344" s="7" t="str">
        <x:v>active</x:v>
      </x:c>
      <x:c r="F344" s="7" t="str">
        <x:v>2026-09-08</x:v>
      </x:c>
      <x:c r="G344" s="7" t="str">
        <x:v>2026-10-08</x:v>
      </x:c>
      <x:c r="H344" s="7" t="n">
        <x:v>6</x:v>
      </x:c>
      <x:c r="I344" s="7" t="n">
        <x:v>2</x:v>
      </x:c>
      <x:c r="J344" s="7" t="n">
        <x:v>6</x:v>
      </x:c>
      <x:c r="K344" s="7" t="str">
        <x:v>unverified-denominator</x:v>
      </x:c>
      <x:c r="L344" s="7" t="d">
        <x:v>2026-09-16T05:12:38.111Z</x:v>
      </x:c>
      <x:c r="M344" s="7" t="str">
        <x:v>https://apm.activecommunities.com/portlandparks/Activity_Search/epcc---teen-beginner/208144?locale=en-US</x:v>
      </x:c>
    </x:row>
    <x:row r="345" ht="38" customHeight="1">
      <x:c r="A345" s="8" t="str">
        <x:v>208175</x:v>
      </x:c>
      <x:c r="B345" s="11" t="str">
        <x:v>EPCC - Teen Beginner</x:v>
      </x:c>
      <x:c r="C345" s="11" t="str">
        <x:v>East Portland Indoor Pool</x:v>
      </x:c>
      <x:c r="D345" s="11" t="str">
        <x:v>Aquatics - Lessons</x:v>
      </x:c>
      <x:c r="E345" s="8" t="str">
        <x:v>future</x:v>
      </x:c>
      <x:c r="F345" s="8" t="str">
        <x:v>2026-11-17</x:v>
      </x:c>
      <x:c r="G345" s="8" t="str">
        <x:v>2026-12-10</x:v>
      </x:c>
      <x:c r="H345" s="8" t="n">
        <x:v>0</x:v>
      </x:c>
      <x:c r="I345" s="8"/>
      <x:c r="J345" s="8" t="n">
        <x:v>6</x:v>
      </x:c>
      <x:c r="K345" s="8" t="str">
        <x:v>unverified-denominator</x:v>
      </x:c>
      <x:c r="L345" s="8" t="d">
        <x:v>2026-09-16T05:12:38.111Z</x:v>
      </x:c>
      <x:c r="M345" s="8" t="str">
        <x:v>https://apm.activecommunities.com/portlandparks/Activity_Search/epcc---teen-beginner/208175?locale=en-US</x:v>
      </x:c>
    </x:row>
    <x:row r="346" ht="38" customHeight="1">
      <x:c r="A346" s="7" t="str">
        <x:v>207487</x:v>
      </x:c>
      <x:c r="B346" s="12" t="str">
        <x:v>Family Art - Art Adventures</x:v>
      </x:c>
      <x:c r="C346" s="12" t="str">
        <x:v>Multnomah Arts Ctr</x:v>
      </x:c>
      <x:c r="D346" s="12" t="str">
        <x:v>Arts &amp; Crafts - Variety</x:v>
      </x:c>
      <x:c r="E346" s="7" t="str">
        <x:v>future</x:v>
      </x:c>
      <x:c r="F346" s="7" t="str">
        <x:v>2026-09-28</x:v>
      </x:c>
      <x:c r="G346" s="7" t="str">
        <x:v>2026-10-26</x:v>
      </x:c>
      <x:c r="H346" s="7" t="n">
        <x:v>3</x:v>
      </x:c>
      <x:c r="I346" s="7"/>
      <x:c r="J346" s="7" t="n">
        <x:v>7</x:v>
      </x:c>
      <x:c r="K346" s="7" t="str">
        <x:v>unverified-denominator</x:v>
      </x:c>
      <x:c r="L346" s="7" t="d">
        <x:v>2026-09-16T05:12:38.111Z</x:v>
      </x:c>
      <x:c r="M346" s="7" t="str">
        <x:v>https://apm.activecommunities.com/portlandparks/Activity_Search/family-art---art-adventures/207487?locale=en-US</x:v>
      </x:c>
    </x:row>
    <x:row r="347" ht="38" customHeight="1">
      <x:c r="A347" s="8" t="str">
        <x:v>207488</x:v>
      </x:c>
      <x:c r="B347" s="11" t="str">
        <x:v>Family Art - Art Adventures</x:v>
      </x:c>
      <x:c r="C347" s="11" t="str">
        <x:v>Multnomah Arts Ctr</x:v>
      </x:c>
      <x:c r="D347" s="11" t="str">
        <x:v>Arts &amp; Crafts - Variety</x:v>
      </x:c>
      <x:c r="E347" s="8" t="str">
        <x:v>future</x:v>
      </x:c>
      <x:c r="F347" s="8" t="str">
        <x:v>2026-09-28</x:v>
      </x:c>
      <x:c r="G347" s="8" t="str">
        <x:v>2026-10-26</x:v>
      </x:c>
      <x:c r="H347" s="8" t="n">
        <x:v>4</x:v>
      </x:c>
      <x:c r="I347" s="8"/>
      <x:c r="J347" s="8" t="n">
        <x:v>7</x:v>
      </x:c>
      <x:c r="K347" s="8" t="str">
        <x:v>unverified-denominator</x:v>
      </x:c>
      <x:c r="L347" s="8" t="d">
        <x:v>2026-09-16T05:12:38.111Z</x:v>
      </x:c>
      <x:c r="M347" s="8" t="str">
        <x:v>https://apm.activecommunities.com/portlandparks/Activity_Search/family-art---art-adventures/207488?locale=en-US</x:v>
      </x:c>
    </x:row>
    <x:row r="348" ht="38" customHeight="1">
      <x:c r="A348" s="7" t="str">
        <x:v>207489</x:v>
      </x:c>
      <x:c r="B348" s="12" t="str">
        <x:v>Family Art - Art Adventures</x:v>
      </x:c>
      <x:c r="C348" s="12" t="str">
        <x:v>Multnomah Arts Ctr</x:v>
      </x:c>
      <x:c r="D348" s="12" t="str">
        <x:v>Arts &amp; Crafts - Variety</x:v>
      </x:c>
      <x:c r="E348" s="7" t="str">
        <x:v>future</x:v>
      </x:c>
      <x:c r="F348" s="7" t="str">
        <x:v>2026-11-02</x:v>
      </x:c>
      <x:c r="G348" s="7" t="str">
        <x:v>2026-11-30</x:v>
      </x:c>
      <x:c r="H348" s="7" t="n">
        <x:v>0</x:v>
      </x:c>
      <x:c r="I348" s="7"/>
      <x:c r="J348" s="7" t="n">
        <x:v>7</x:v>
      </x:c>
      <x:c r="K348" s="7" t="str">
        <x:v>unverified-denominator</x:v>
      </x:c>
      <x:c r="L348" s="7" t="d">
        <x:v>2026-09-16T05:12:38.111Z</x:v>
      </x:c>
      <x:c r="M348" s="7" t="str">
        <x:v>https://apm.activecommunities.com/portlandparks/Activity_Search/family-art---art-adventures/207489?locale=en-US</x:v>
      </x:c>
    </x:row>
    <x:row r="349" ht="38" customHeight="1">
      <x:c r="A349" s="8" t="str">
        <x:v>207490</x:v>
      </x:c>
      <x:c r="B349" s="11" t="str">
        <x:v>Family Art - Art Adventures</x:v>
      </x:c>
      <x:c r="C349" s="11" t="str">
        <x:v>Multnomah Arts Ctr</x:v>
      </x:c>
      <x:c r="D349" s="11" t="str">
        <x:v>Arts &amp; Crafts - Variety</x:v>
      </x:c>
      <x:c r="E349" s="8" t="str">
        <x:v>future</x:v>
      </x:c>
      <x:c r="F349" s="8" t="str">
        <x:v>2026-11-02</x:v>
      </x:c>
      <x:c r="G349" s="8" t="str">
        <x:v>2026-11-30</x:v>
      </x:c>
      <x:c r="H349" s="8" t="n">
        <x:v>0</x:v>
      </x:c>
      <x:c r="I349" s="8"/>
      <x:c r="J349" s="8" t="n">
        <x:v>7</x:v>
      </x:c>
      <x:c r="K349" s="8" t="str">
        <x:v>unverified-denominator</x:v>
      </x:c>
      <x:c r="L349" s="8" t="d">
        <x:v>2026-09-16T05:12:38.111Z</x:v>
      </x:c>
      <x:c r="M349" s="8" t="str">
        <x:v>https://apm.activecommunities.com/portlandparks/Activity_Search/family-art---art-adventures/207490?locale=en-US</x:v>
      </x:c>
    </x:row>
    <x:row r="350" ht="38" customHeight="1">
      <x:c r="A350" s="7" t="str">
        <x:v>208682</x:v>
      </x:c>
      <x:c r="B350" s="12" t="str">
        <x:v>Fiber Arts - Coil Basket</x:v>
      </x:c>
      <x:c r="C350" s="12" t="str">
        <x:v>Rosewood Initiative</x:v>
      </x:c>
      <x:c r="D350" s="12" t="str">
        <x:v>Arts &amp; Crafts - Fiber &amp; Handcrafts</x:v>
      </x:c>
      <x:c r="E350" s="7" t="str">
        <x:v>undated</x:v>
      </x:c>
      <x:c r="F350" s="7" t="str">
        <x:v>2026-11-17</x:v>
      </x:c>
      <x:c r="G350" s="7" t="str"/>
      <x:c r="H350" s="7" t="n">
        <x:v>10</x:v>
      </x:c>
      <x:c r="I350" s="7" t="n">
        <x:v>1</x:v>
      </x:c>
      <x:c r="J350" s="7" t="n">
        <x:v>10</x:v>
      </x:c>
      <x:c r="K350" s="7" t="str">
        <x:v>unverified-denominator</x:v>
      </x:c>
      <x:c r="L350" s="7" t="d">
        <x:v>2026-09-16T05:12:38.111Z</x:v>
      </x:c>
      <x:c r="M350" s="7" t="str">
        <x:v>https://apm.activecommunities.com/portlandparks/Activity_Search/fiber-arts---coil-basket/208682?locale=en-US</x:v>
      </x:c>
    </x:row>
    <x:row r="351" ht="38" customHeight="1">
      <x:c r="A351" s="8" t="str">
        <x:v>207957</x:v>
      </x:c>
      <x:c r="B351" s="11" t="str">
        <x:v>Fiber Arts - Crochet: Fingerless Gloves</x:v>
      </x:c>
      <x:c r="C351" s="11" t="str">
        <x:v>Multnomah Arts Ctr</x:v>
      </x:c>
      <x:c r="D351" s="11" t="str">
        <x:v>Arts &amp; Crafts - Fiber &amp; Handcrafts</x:v>
      </x:c>
      <x:c r="E351" s="8" t="str">
        <x:v>future</x:v>
      </x:c>
      <x:c r="F351" s="8" t="str">
        <x:v>2026-09-28</x:v>
      </x:c>
      <x:c r="G351" s="8" t="str">
        <x:v>2026-10-26</x:v>
      </x:c>
      <x:c r="H351" s="8" t="n">
        <x:v>10</x:v>
      </x:c>
      <x:c r="I351" s="8"/>
      <x:c r="J351" s="8" t="n">
        <x:v>10</x:v>
      </x:c>
      <x:c r="K351" s="8" t="str">
        <x:v>unverified-denominator</x:v>
      </x:c>
      <x:c r="L351" s="8" t="d">
        <x:v>2026-09-16T05:12:38.111Z</x:v>
      </x:c>
      <x:c r="M351" s="8" t="str">
        <x:v>https://apm.activecommunities.com/portlandparks/Activity_Search/fiber-arts---crochet-fingerless-gloves/207957?locale=en-US</x:v>
      </x:c>
    </x:row>
    <x:row r="352" ht="38" customHeight="1">
      <x:c r="A352" s="7" t="str">
        <x:v>207861</x:v>
      </x:c>
      <x:c r="B352" s="12" t="str">
        <x:v>Fiber Arts - Felt Making: Needle Felting</x:v>
      </x:c>
      <x:c r="C352" s="12" t="str">
        <x:v>Rosewood Initiative</x:v>
      </x:c>
      <x:c r="D352" s="12" t="str">
        <x:v>Arts &amp; Crafts - Fiber &amp; Handcrafts</x:v>
      </x:c>
      <x:c r="E352" s="7" t="str">
        <x:v>undated</x:v>
      </x:c>
      <x:c r="F352" s="7" t="str">
        <x:v>2026-10-06</x:v>
      </x:c>
      <x:c r="G352" s="7" t="str"/>
      <x:c r="H352" s="7" t="n">
        <x:v>6</x:v>
      </x:c>
      <x:c r="I352" s="7"/>
      <x:c r="J352" s="7" t="n">
        <x:v>10</x:v>
      </x:c>
      <x:c r="K352" s="7" t="str">
        <x:v>unverified-denominator</x:v>
      </x:c>
      <x:c r="L352" s="7" t="d">
        <x:v>2026-09-16T05:12:38.111Z</x:v>
      </x:c>
      <x:c r="M352" s="7" t="str">
        <x:v>https://apm.activecommunities.com/portlandparks/Activity_Search/fiber-arts---felt-making-needle-felting/207861?locale=en-US</x:v>
      </x:c>
    </x:row>
    <x:row r="353" ht="38" customHeight="1">
      <x:c r="A353" s="8" t="str">
        <x:v>208677</x:v>
      </x:c>
      <x:c r="B353" s="11" t="str">
        <x:v>Fiber Arts - Felt Making: Needle Felting</x:v>
      </x:c>
      <x:c r="C353" s="11" t="str">
        <x:v>Rosewood Initiative</x:v>
      </x:c>
      <x:c r="D353" s="11" t="str">
        <x:v>Arts &amp; Crafts - Fiber &amp; Handcrafts</x:v>
      </x:c>
      <x:c r="E353" s="8" t="str">
        <x:v>undated</x:v>
      </x:c>
      <x:c r="F353" s="8" t="str">
        <x:v>2026-12-08</x:v>
      </x:c>
      <x:c r="G353" s="8" t="str"/>
      <x:c r="H353" s="8" t="n">
        <x:v>0</x:v>
      </x:c>
      <x:c r="I353" s="8"/>
      <x:c r="J353" s="8" t="n">
        <x:v>10</x:v>
      </x:c>
      <x:c r="K353" s="8" t="str">
        <x:v>unverified-denominator</x:v>
      </x:c>
      <x:c r="L353" s="8" t="d">
        <x:v>2026-09-16T05:12:38.111Z</x:v>
      </x:c>
      <x:c r="M353" s="8" t="str">
        <x:v>https://apm.activecommunities.com/portlandparks/Activity_Search/fiber-arts---felt-making-needle-felting/208677?locale=en-US</x:v>
      </x:c>
    </x:row>
    <x:row r="354" ht="38" customHeight="1">
      <x:c r="A354" s="7" t="str">
        <x:v>208441</x:v>
      </x:c>
      <x:c r="B354" s="12" t="str">
        <x:v>Fiber Arts - Felting: Intro to Needle Felting</x:v>
      </x:c>
      <x:c r="C354" s="12" t="str">
        <x:v>Multnomah Arts Ctr</x:v>
      </x:c>
      <x:c r="D354" s="12" t="str">
        <x:v>Arts &amp; Crafts - Fiber &amp; Handcrafts</x:v>
      </x:c>
      <x:c r="E354" s="7" t="str">
        <x:v>undated</x:v>
      </x:c>
      <x:c r="F354" s="7" t="str">
        <x:v>2026-10-12</x:v>
      </x:c>
      <x:c r="G354" s="7" t="str"/>
      <x:c r="H354" s="7" t="n">
        <x:v>8</x:v>
      </x:c>
      <x:c r="I354" s="7" t="n">
        <x:v>3</x:v>
      </x:c>
      <x:c r="J354" s="7" t="n">
        <x:v>8</x:v>
      </x:c>
      <x:c r="K354" s="7" t="str">
        <x:v>unverified-denominator</x:v>
      </x:c>
      <x:c r="L354" s="7" t="d">
        <x:v>2026-09-16T05:12:38.111Z</x:v>
      </x:c>
      <x:c r="M354" s="7" t="str">
        <x:v>https://apm.activecommunities.com/portlandparks/Activity_Search/fiber-arts---felting-intro-to-needle-felting/208441?locale=en-US</x:v>
      </x:c>
    </x:row>
    <x:row r="355" ht="38" customHeight="1">
      <x:c r="A355" s="8" t="str">
        <x:v>208442</x:v>
      </x:c>
      <x:c r="B355" s="11" t="str">
        <x:v>Fiber Arts - Felting: Intro to Needle Felting</x:v>
      </x:c>
      <x:c r="C355" s="11" t="str">
        <x:v>Multnomah Arts Ctr</x:v>
      </x:c>
      <x:c r="D355" s="11" t="str">
        <x:v>Arts &amp; Crafts - Fiber &amp; Handcrafts</x:v>
      </x:c>
      <x:c r="E355" s="8" t="str">
        <x:v>undated</x:v>
      </x:c>
      <x:c r="F355" s="8" t="str">
        <x:v>2026-10-17</x:v>
      </x:c>
      <x:c r="G355" s="8" t="str"/>
      <x:c r="H355" s="8" t="n">
        <x:v>8</x:v>
      </x:c>
      <x:c r="I355" s="8" t="n">
        <x:v>2</x:v>
      </x:c>
      <x:c r="J355" s="8" t="n">
        <x:v>8</x:v>
      </x:c>
      <x:c r="K355" s="8" t="str">
        <x:v>unverified-denominator</x:v>
      </x:c>
      <x:c r="L355" s="8" t="d">
        <x:v>2026-09-16T05:12:38.111Z</x:v>
      </x:c>
      <x:c r="M355" s="8" t="str">
        <x:v>https://apm.activecommunities.com/portlandparks/Activity_Search/fiber-arts---felting-intro-to-needle-felting/208442?locale=en-US</x:v>
      </x:c>
    </x:row>
    <x:row r="356" ht="38" customHeight="1">
      <x:c r="A356" s="7" t="str">
        <x:v>208446</x:v>
      </x:c>
      <x:c r="B356" s="12" t="str">
        <x:v>Fiber Arts - Felting: Painting with Wool</x:v>
      </x:c>
      <x:c r="C356" s="12" t="str">
        <x:v>Multnomah Arts Ctr</x:v>
      </x:c>
      <x:c r="D356" s="12" t="str">
        <x:v>Arts &amp; Crafts - Fiber &amp; Handcrafts</x:v>
      </x:c>
      <x:c r="E356" s="7" t="str">
        <x:v>future</x:v>
      </x:c>
      <x:c r="F356" s="7" t="str">
        <x:v>2026-11-02</x:v>
      </x:c>
      <x:c r="G356" s="7" t="str">
        <x:v>2026-11-09</x:v>
      </x:c>
      <x:c r="H356" s="7" t="n">
        <x:v>0</x:v>
      </x:c>
      <x:c r="I356" s="7"/>
      <x:c r="J356" s="7" t="n">
        <x:v>8</x:v>
      </x:c>
      <x:c r="K356" s="7" t="str">
        <x:v>unverified-denominator</x:v>
      </x:c>
      <x:c r="L356" s="7" t="d">
        <x:v>2026-09-16T05:12:38.111Z</x:v>
      </x:c>
      <x:c r="M356" s="7" t="str">
        <x:v>https://apm.activecommunities.com/portlandparks/Activity_Search/fiber-arts---felting-painting-with-wool/208446?locale=en-US</x:v>
      </x:c>
    </x:row>
    <x:row r="357" ht="38" customHeight="1">
      <x:c r="A357" s="8" t="str">
        <x:v>208444</x:v>
      </x:c>
      <x:c r="B357" s="11" t="str">
        <x:v>Fiber Arts - Felting: Using Armatures</x:v>
      </x:c>
      <x:c r="C357" s="11" t="str">
        <x:v>Multnomah Arts Ctr</x:v>
      </x:c>
      <x:c r="D357" s="11" t="str">
        <x:v>Arts &amp; Crafts - Fiber &amp; Handcrafts</x:v>
      </x:c>
      <x:c r="E357" s="8" t="str">
        <x:v>undated</x:v>
      </x:c>
      <x:c r="F357" s="8" t="str">
        <x:v>2026-10-26</x:v>
      </x:c>
      <x:c r="G357" s="8" t="str"/>
      <x:c r="H357" s="8" t="n">
        <x:v>5</x:v>
      </x:c>
      <x:c r="I357" s="8"/>
      <x:c r="J357" s="8" t="n">
        <x:v>8</x:v>
      </x:c>
      <x:c r="K357" s="8" t="str">
        <x:v>unverified-denominator</x:v>
      </x:c>
      <x:c r="L357" s="8" t="d">
        <x:v>2026-09-16T05:12:38.111Z</x:v>
      </x:c>
      <x:c r="M357" s="8" t="str">
        <x:v>https://apm.activecommunities.com/portlandparks/Activity_Search/fiber-arts---felting-using-armatures/208444?locale=en-US</x:v>
      </x:c>
    </x:row>
    <x:row r="358" ht="38" customHeight="1">
      <x:c r="A358" s="7" t="str">
        <x:v>208445</x:v>
      </x:c>
      <x:c r="B358" s="12" t="str">
        <x:v>Fiber Arts - Felting: Using Armatures</x:v>
      </x:c>
      <x:c r="C358" s="12" t="str">
        <x:v>Multnomah Arts Ctr</x:v>
      </x:c>
      <x:c r="D358" s="12" t="str">
        <x:v>Arts &amp; Crafts - Fiber &amp; Handcrafts</x:v>
      </x:c>
      <x:c r="E358" s="7" t="str">
        <x:v>undated</x:v>
      </x:c>
      <x:c r="F358" s="7" t="str">
        <x:v>2026-10-31</x:v>
      </x:c>
      <x:c r="G358" s="7" t="str"/>
      <x:c r="H358" s="7" t="n">
        <x:v>3</x:v>
      </x:c>
      <x:c r="I358" s="7"/>
      <x:c r="J358" s="7" t="n">
        <x:v>8</x:v>
      </x:c>
      <x:c r="K358" s="7" t="str">
        <x:v>unverified-denominator</x:v>
      </x:c>
      <x:c r="L358" s="7" t="d">
        <x:v>2026-09-16T05:12:38.111Z</x:v>
      </x:c>
      <x:c r="M358" s="7" t="str">
        <x:v>https://apm.activecommunities.com/portlandparks/Activity_Search/fiber-arts---felting-using-armatures/208445?locale=en-US</x:v>
      </x:c>
    </x:row>
    <x:row r="359" ht="38" customHeight="1">
      <x:c r="A359" s="8" t="str">
        <x:v>207491</x:v>
      </x:c>
      <x:c r="B359" s="11" t="str">
        <x:v>Fiber Arts - Knitting: All Levels</x:v>
      </x:c>
      <x:c r="C359" s="11" t="str">
        <x:v>Multnomah Arts Ctr</x:v>
      </x:c>
      <x:c r="D359" s="11" t="str">
        <x:v>Arts &amp; Crafts - Fiber &amp; Handcrafts</x:v>
      </x:c>
      <x:c r="E359" s="8" t="str">
        <x:v>future</x:v>
      </x:c>
      <x:c r="F359" s="8" t="str">
        <x:v>2026-09-29</x:v>
      </x:c>
      <x:c r="G359" s="8" t="str">
        <x:v>2026-10-27</x:v>
      </x:c>
      <x:c r="H359" s="8" t="n">
        <x:v>8</x:v>
      </x:c>
      <x:c r="I359" s="8" t="n">
        <x:v>2</x:v>
      </x:c>
      <x:c r="J359" s="8" t="n">
        <x:v>8</x:v>
      </x:c>
      <x:c r="K359" s="8" t="str">
        <x:v>unverified-denominator</x:v>
      </x:c>
      <x:c r="L359" s="8" t="d">
        <x:v>2026-09-16T05:12:38.111Z</x:v>
      </x:c>
      <x:c r="M359" s="8" t="str">
        <x:v>https://apm.activecommunities.com/portlandparks/Activity_Search/fiber-arts---knitting-all-levels/207491?locale=en-US</x:v>
      </x:c>
    </x:row>
    <x:row r="360" ht="38" customHeight="1">
      <x:c r="A360" s="7" t="str">
        <x:v>207492</x:v>
      </x:c>
      <x:c r="B360" s="12" t="str">
        <x:v>Fiber Arts - Sewing: Basic Sewing for Beginners Level I</x:v>
      </x:c>
      <x:c r="C360" s="12" t="str">
        <x:v>Multnomah Arts Ctr</x:v>
      </x:c>
      <x:c r="D360" s="12" t="str">
        <x:v>Arts &amp; Crafts - Fiber &amp; Handcrafts</x:v>
      </x:c>
      <x:c r="E360" s="7" t="str">
        <x:v>undated</x:v>
      </x:c>
      <x:c r="F360" s="7" t="str">
        <x:v>2026-10-10</x:v>
      </x:c>
      <x:c r="G360" s="7" t="str"/>
      <x:c r="H360" s="7" t="n">
        <x:v>10</x:v>
      </x:c>
      <x:c r="I360" s="7" t="n">
        <x:v>11</x:v>
      </x:c>
      <x:c r="J360" s="7" t="n">
        <x:v>10</x:v>
      </x:c>
      <x:c r="K360" s="7" t="str">
        <x:v>unverified-denominator</x:v>
      </x:c>
      <x:c r="L360" s="7" t="d">
        <x:v>2026-09-16T05:12:38.111Z</x:v>
      </x:c>
      <x:c r="M360" s="7" t="str">
        <x:v>https://apm.activecommunities.com/portlandparks/Activity_Search/fiber-arts---sewing-basic-sewing-for-beginners-level-i/207492?locale=en-US</x:v>
      </x:c>
    </x:row>
    <x:row r="361" ht="38" customHeight="1">
      <x:c r="A361" s="8" t="str">
        <x:v>207493</x:v>
      </x:c>
      <x:c r="B361" s="11" t="str">
        <x:v>Fiber Arts - Sewing: Basic Sewing for Beginners Level I</x:v>
      </x:c>
      <x:c r="C361" s="11" t="str">
        <x:v>Multnomah Arts Ctr</x:v>
      </x:c>
      <x:c r="D361" s="11" t="str">
        <x:v>Arts &amp; Crafts - Fiber &amp; Handcrafts</x:v>
      </x:c>
      <x:c r="E361" s="8" t="str">
        <x:v>undated</x:v>
      </x:c>
      <x:c r="F361" s="8" t="str">
        <x:v>2026-11-14</x:v>
      </x:c>
      <x:c r="G361" s="8" t="str"/>
      <x:c r="H361" s="8" t="n">
        <x:v>0</x:v>
      </x:c>
      <x:c r="I361" s="8"/>
      <x:c r="J361" s="8" t="n">
        <x:v>10</x:v>
      </x:c>
      <x:c r="K361" s="8" t="str">
        <x:v>unverified-denominator</x:v>
      </x:c>
      <x:c r="L361" s="8" t="d">
        <x:v>2026-09-16T05:12:38.111Z</x:v>
      </x:c>
      <x:c r="M361" s="8" t="str">
        <x:v>https://apm.activecommunities.com/portlandparks/Activity_Search/fiber-arts---sewing-basic-sewing-for-beginners-level-i/207493?locale=en-US</x:v>
      </x:c>
    </x:row>
    <x:row r="362" ht="38" customHeight="1">
      <x:c r="A362" s="7" t="str">
        <x:v>207494</x:v>
      </x:c>
      <x:c r="B362" s="12" t="str">
        <x:v>Fiber Arts - Sewing: Basic Sewing for Beginners Level II</x:v>
      </x:c>
      <x:c r="C362" s="12" t="str">
        <x:v>Multnomah Arts Ctr</x:v>
      </x:c>
      <x:c r="D362" s="12" t="str">
        <x:v>Arts &amp; Crafts - Fiber &amp; Handcrafts</x:v>
      </x:c>
      <x:c r="E362" s="7" t="str">
        <x:v>undated</x:v>
      </x:c>
      <x:c r="F362" s="7" t="str">
        <x:v>2026-12-05</x:v>
      </x:c>
      <x:c r="G362" s="7" t="str"/>
      <x:c r="H362" s="7" t="n">
        <x:v>0</x:v>
      </x:c>
      <x:c r="I362" s="7"/>
      <x:c r="J362" s="7" t="n">
        <x:v>10</x:v>
      </x:c>
      <x:c r="K362" s="7" t="str">
        <x:v>unverified-denominator</x:v>
      </x:c>
      <x:c r="L362" s="7" t="d">
        <x:v>2026-09-16T05:12:38.111Z</x:v>
      </x:c>
      <x:c r="M362" s="7" t="str">
        <x:v>https://apm.activecommunities.com/portlandparks/Activity_Search/fiber-arts---sewing-basic-sewing-for-beginners-level-ii/207494?locale=en-US</x:v>
      </x:c>
    </x:row>
    <x:row r="363" ht="38" customHeight="1">
      <x:c r="A363" s="8" t="str">
        <x:v>207958</x:v>
      </x:c>
      <x:c r="B363" s="11" t="str">
        <x:v>Fiber Arts - Spinning: Drop Spindle - Intro</x:v>
      </x:c>
      <x:c r="C363" s="11" t="str">
        <x:v>Multnomah Arts Ctr</x:v>
      </x:c>
      <x:c r="D363" s="11" t="str">
        <x:v>Arts &amp; Crafts - Fiber &amp; Handcrafts</x:v>
      </x:c>
      <x:c r="E363" s="8" t="str">
        <x:v>future</x:v>
      </x:c>
      <x:c r="F363" s="8" t="str">
        <x:v>2026-11-02</x:v>
      </x:c>
      <x:c r="G363" s="8" t="str">
        <x:v>2026-11-09</x:v>
      </x:c>
      <x:c r="H363" s="8" t="n">
        <x:v>0</x:v>
      </x:c>
      <x:c r="I363" s="8"/>
      <x:c r="J363" s="8" t="n">
        <x:v>8</x:v>
      </x:c>
      <x:c r="K363" s="8" t="str">
        <x:v>unverified-denominator</x:v>
      </x:c>
      <x:c r="L363" s="8" t="d">
        <x:v>2026-09-16T05:12:38.111Z</x:v>
      </x:c>
      <x:c r="M363" s="8" t="str">
        <x:v>https://apm.activecommunities.com/portlandparks/Activity_Search/fiber-arts---spinning-drop-spindle---intro/207958?locale=en-US</x:v>
      </x:c>
    </x:row>
    <x:row r="364" ht="38" customHeight="1">
      <x:c r="A364" s="7" t="str">
        <x:v>207497</x:v>
      </x:c>
      <x:c r="B364" s="12" t="str">
        <x:v>Fiber Arts - Spinning: Techniques &amp; Fibers</x:v>
      </x:c>
      <x:c r="C364" s="12" t="str">
        <x:v>Multnomah Arts Ctr</x:v>
      </x:c>
      <x:c r="D364" s="12" t="str">
        <x:v>Arts &amp; Crafts - Fiber &amp; Handcrafts</x:v>
      </x:c>
      <x:c r="E364" s="7" t="str">
        <x:v>future</x:v>
      </x:c>
      <x:c r="F364" s="7" t="str">
        <x:v>2026-11-04</x:v>
      </x:c>
      <x:c r="G364" s="7" t="str">
        <x:v>2026-12-09</x:v>
      </x:c>
      <x:c r="H364" s="7" t="n">
        <x:v>0</x:v>
      </x:c>
      <x:c r="I364" s="7"/>
      <x:c r="J364" s="7" t="n">
        <x:v>7</x:v>
      </x:c>
      <x:c r="K364" s="7" t="str">
        <x:v>unverified-denominator</x:v>
      </x:c>
      <x:c r="L364" s="7" t="d">
        <x:v>2026-09-16T05:12:38.111Z</x:v>
      </x:c>
      <x:c r="M364" s="7" t="str">
        <x:v>https://apm.activecommunities.com/portlandparks/Activity_Search/fiber-arts---spinning-techniques-fibers/207497?locale=en-US</x:v>
      </x:c>
    </x:row>
    <x:row r="365" ht="38" customHeight="1">
      <x:c r="A365" s="8" t="str">
        <x:v>207959</x:v>
      </x:c>
      <x:c r="B365" s="11" t="str">
        <x:v>Fiber Arts - Spinning: Wheel - Intro</x:v>
      </x:c>
      <x:c r="C365" s="11" t="str">
        <x:v>Multnomah Arts Ctr</x:v>
      </x:c>
      <x:c r="D365" s="11" t="str">
        <x:v>Arts &amp; Crafts - Fiber &amp; Handcrafts</x:v>
      </x:c>
      <x:c r="E365" s="8" t="str">
        <x:v>future</x:v>
      </x:c>
      <x:c r="F365" s="8" t="str">
        <x:v>2026-11-16</x:v>
      </x:c>
      <x:c r="G365" s="8" t="str">
        <x:v>2026-11-23</x:v>
      </x:c>
      <x:c r="H365" s="8" t="n">
        <x:v>0</x:v>
      </x:c>
      <x:c r="I365" s="8"/>
      <x:c r="J365" s="8" t="n">
        <x:v>7</x:v>
      </x:c>
      <x:c r="K365" s="8" t="str">
        <x:v>unverified-denominator</x:v>
      </x:c>
      <x:c r="L365" s="8" t="d">
        <x:v>2026-09-16T05:12:38.111Z</x:v>
      </x:c>
      <x:c r="M365" s="8" t="str">
        <x:v>https://apm.activecommunities.com/portlandparks/Activity_Search/fiber-arts---spinning-wheel---intro/207959?locale=en-US</x:v>
      </x:c>
    </x:row>
    <x:row r="366" ht="38" customHeight="1">
      <x:c r="A366" s="7" t="str">
        <x:v>207498</x:v>
      </x:c>
      <x:c r="B366" s="12" t="str">
        <x:v>Fiber Arts - Upcycled Rugs</x:v>
      </x:c>
      <x:c r="C366" s="12" t="str">
        <x:v>Multnomah Arts Ctr</x:v>
      </x:c>
      <x:c r="D366" s="12" t="str">
        <x:v>Arts &amp; Crafts - Fiber &amp; Handcrafts</x:v>
      </x:c>
      <x:c r="E366" s="7" t="str">
        <x:v>future</x:v>
      </x:c>
      <x:c r="F366" s="7" t="str">
        <x:v>2026-12-05</x:v>
      </x:c>
      <x:c r="G366" s="7" t="str">
        <x:v>2026-12-12</x:v>
      </x:c>
      <x:c r="H366" s="7" t="n">
        <x:v>0</x:v>
      </x:c>
      <x:c r="I366" s="7"/>
      <x:c r="J366" s="7" t="n">
        <x:v>5</x:v>
      </x:c>
      <x:c r="K366" s="7" t="str">
        <x:v>unverified-denominator</x:v>
      </x:c>
      <x:c r="L366" s="7" t="d">
        <x:v>2026-09-16T05:12:38.111Z</x:v>
      </x:c>
      <x:c r="M366" s="7" t="str">
        <x:v>https://apm.activecommunities.com/portlandparks/Activity_Search/fiber-arts---upcycled-rugs/207498?locale=en-US</x:v>
      </x:c>
    </x:row>
    <x:row r="367" ht="38" customHeight="1">
      <x:c r="A367" s="8" t="str">
        <x:v>207499</x:v>
      </x:c>
      <x:c r="B367" s="11" t="str">
        <x:v>Fiber Arts - Weaving - On Loom: All Levels</x:v>
      </x:c>
      <x:c r="C367" s="11" t="str">
        <x:v>Multnomah Arts Ctr</x:v>
      </x:c>
      <x:c r="D367" s="11" t="str">
        <x:v>Arts &amp; Crafts - Fiber &amp; Handcrafts</x:v>
      </x:c>
      <x:c r="E367" s="8" t="str">
        <x:v>future</x:v>
      </x:c>
      <x:c r="F367" s="8" t="str">
        <x:v>2026-09-30</x:v>
      </x:c>
      <x:c r="G367" s="8" t="str">
        <x:v>2026-12-09</x:v>
      </x:c>
      <x:c r="H367" s="8" t="n">
        <x:v>11</x:v>
      </x:c>
      <x:c r="I367" s="8" t="n">
        <x:v>5</x:v>
      </x:c>
      <x:c r="J367" s="8" t="n">
        <x:v>11</x:v>
      </x:c>
      <x:c r="K367" s="8" t="str">
        <x:v>unverified-denominator</x:v>
      </x:c>
      <x:c r="L367" s="8" t="d">
        <x:v>2026-09-16T05:12:38.111Z</x:v>
      </x:c>
      <x:c r="M367" s="8" t="str">
        <x:v>https://apm.activecommunities.com/portlandparks/Activity_Search/fiber-arts---weaving---on-loom-all-levels/207499?locale=en-US</x:v>
      </x:c>
    </x:row>
    <x:row r="368" ht="38" customHeight="1">
      <x:c r="A368" s="7" t="str">
        <x:v>207500</x:v>
      </x:c>
      <x:c r="B368" s="12" t="str">
        <x:v>Fiber Arts - Weaving - On Loom: All Levels</x:v>
      </x:c>
      <x:c r="C368" s="12" t="str">
        <x:v>Multnomah Arts Ctr</x:v>
      </x:c>
      <x:c r="D368" s="12" t="str">
        <x:v>Arts &amp; Crafts - Fiber &amp; Handcrafts</x:v>
      </x:c>
      <x:c r="E368" s="7" t="str">
        <x:v>future</x:v>
      </x:c>
      <x:c r="F368" s="7" t="str">
        <x:v>2026-10-03</x:v>
      </x:c>
      <x:c r="G368" s="7" t="str">
        <x:v>2026-12-12</x:v>
      </x:c>
      <x:c r="H368" s="7" t="n">
        <x:v>11</x:v>
      </x:c>
      <x:c r="I368" s="7" t="n">
        <x:v>3</x:v>
      </x:c>
      <x:c r="J368" s="7" t="n">
        <x:v>11</x:v>
      </x:c>
      <x:c r="K368" s="7" t="str">
        <x:v>unverified-denominator</x:v>
      </x:c>
      <x:c r="L368" s="7" t="d">
        <x:v>2026-09-16T05:12:38.111Z</x:v>
      </x:c>
      <x:c r="M368" s="7" t="str">
        <x:v>https://apm.activecommunities.com/portlandparks/Activity_Search/fiber-arts---weaving---on-loom-all-levels/207500?locale=en-US</x:v>
      </x:c>
    </x:row>
    <x:row r="369" ht="38" customHeight="1">
      <x:c r="A369" s="8" t="str">
        <x:v>207501</x:v>
      </x:c>
      <x:c r="B369" s="11" t="str">
        <x:v>Fiber Arts - Weaving - On Loom: Beginning</x:v>
      </x:c>
      <x:c r="C369" s="11" t="str">
        <x:v>Multnomah Arts Ctr</x:v>
      </x:c>
      <x:c r="D369" s="11" t="str">
        <x:v>Arts &amp; Crafts - Fiber &amp; Handcrafts</x:v>
      </x:c>
      <x:c r="E369" s="8" t="str">
        <x:v>future</x:v>
      </x:c>
      <x:c r="F369" s="8" t="str">
        <x:v>2026-09-29</x:v>
      </x:c>
      <x:c r="G369" s="8" t="str">
        <x:v>2026-12-01</x:v>
      </x:c>
      <x:c r="H369" s="8" t="n">
        <x:v>10</x:v>
      </x:c>
      <x:c r="I369" s="8" t="n">
        <x:v>21</x:v>
      </x:c>
      <x:c r="J369" s="8" t="n">
        <x:v>10</x:v>
      </x:c>
      <x:c r="K369" s="8" t="str">
        <x:v>unverified-denominator</x:v>
      </x:c>
      <x:c r="L369" s="8" t="d">
        <x:v>2026-09-16T05:12:38.111Z</x:v>
      </x:c>
      <x:c r="M369" s="8" t="str">
        <x:v>https://apm.activecommunities.com/portlandparks/Activity_Search/fiber-arts---weaving---on-loom-beginning/207501?locale=en-US</x:v>
      </x:c>
    </x:row>
    <x:row r="370" ht="38" customHeight="1">
      <x:c r="A370" s="7" t="str">
        <x:v>207502</x:v>
      </x:c>
      <x:c r="B370" s="12" t="str">
        <x:v>Fiber Arts - Weaving - On Loom: Compu-Dobby Demo</x:v>
      </x:c>
      <x:c r="C370" s="12" t="str">
        <x:v>Multnomah Arts Ctr</x:v>
      </x:c>
      <x:c r="D370" s="12" t="str">
        <x:v>Arts &amp; Crafts - Fiber &amp; Handcrafts</x:v>
      </x:c>
      <x:c r="E370" s="7" t="str">
        <x:v>undated</x:v>
      </x:c>
      <x:c r="F370" s="7" t="str">
        <x:v>2026-12-15</x:v>
      </x:c>
      <x:c r="G370" s="7" t="str"/>
      <x:c r="H370" s="7" t="n">
        <x:v>0</x:v>
      </x:c>
      <x:c r="I370" s="7"/>
      <x:c r="J370" s="7" t="n">
        <x:v>6</x:v>
      </x:c>
      <x:c r="K370" s="7" t="str">
        <x:v>unverified-denominator</x:v>
      </x:c>
      <x:c r="L370" s="7" t="d">
        <x:v>2026-09-16T05:12:38.111Z</x:v>
      </x:c>
      <x:c r="M370" s="7" t="str">
        <x:v>https://apm.activecommunities.com/portlandparks/Activity_Search/fiber-arts---weaving---on-loom-compu-dobby-demo/207502?locale=en-US</x:v>
      </x:c>
    </x:row>
    <x:row r="371" ht="38" customHeight="1">
      <x:c r="A371" s="8" t="str">
        <x:v>207503</x:v>
      </x:c>
      <x:c r="B371" s="11" t="str">
        <x:v>Fiber Arts - Weaving - On Loom: Compu-Dobby Demo</x:v>
      </x:c>
      <x:c r="C371" s="11" t="str">
        <x:v>Multnomah Arts Ctr</x:v>
      </x:c>
      <x:c r="D371" s="11" t="str">
        <x:v>Arts &amp; Crafts - Fiber &amp; Handcrafts</x:v>
      </x:c>
      <x:c r="E371" s="8" t="str">
        <x:v>undated</x:v>
      </x:c>
      <x:c r="F371" s="8" t="str">
        <x:v>2026-12-15</x:v>
      </x:c>
      <x:c r="G371" s="8" t="str"/>
      <x:c r="H371" s="8" t="n">
        <x:v>0</x:v>
      </x:c>
      <x:c r="I371" s="8"/>
      <x:c r="J371" s="8" t="n">
        <x:v>6</x:v>
      </x:c>
      <x:c r="K371" s="8" t="str">
        <x:v>unverified-denominator</x:v>
      </x:c>
      <x:c r="L371" s="8" t="d">
        <x:v>2026-09-16T05:12:38.111Z</x:v>
      </x:c>
      <x:c r="M371" s="8" t="str">
        <x:v>https://apm.activecommunities.com/portlandparks/Activity_Search/fiber-arts---weaving---on-loom-compu-dobby-demo/207503?locale=en-US</x:v>
      </x:c>
    </x:row>
    <x:row r="372" ht="38" customHeight="1">
      <x:c r="A372" s="7" t="str">
        <x:v>207504</x:v>
      </x:c>
      <x:c r="B372" s="12" t="str">
        <x:v>Fiber Arts - Weaving - On Loom: Intermediate to Advanced</x:v>
      </x:c>
      <x:c r="C372" s="12" t="str">
        <x:v>Multnomah Arts Ctr</x:v>
      </x:c>
      <x:c r="D372" s="12" t="str">
        <x:v>Arts &amp; Crafts - Fiber &amp; Handcrafts</x:v>
      </x:c>
      <x:c r="E372" s="7" t="str">
        <x:v>future</x:v>
      </x:c>
      <x:c r="F372" s="7" t="str">
        <x:v>2026-09-29</x:v>
      </x:c>
      <x:c r="G372" s="7" t="str">
        <x:v>2026-12-01</x:v>
      </x:c>
      <x:c r="H372" s="7" t="n">
        <x:v>11</x:v>
      </x:c>
      <x:c r="I372" s="7" t="n">
        <x:v>2</x:v>
      </x:c>
      <x:c r="J372" s="7" t="n">
        <x:v>11</x:v>
      </x:c>
      <x:c r="K372" s="7" t="str">
        <x:v>unverified-denominator</x:v>
      </x:c>
      <x:c r="L372" s="7" t="d">
        <x:v>2026-09-16T05:12:38.111Z</x:v>
      </x:c>
      <x:c r="M372" s="7" t="str">
        <x:v>https://apm.activecommunities.com/portlandparks/Activity_Search/fiber-arts---weaving---on-loom-intermediate-to-advanced/207504?locale=en-US</x:v>
      </x:c>
    </x:row>
    <x:row r="373" ht="38" customHeight="1">
      <x:c r="A373" s="8" t="str">
        <x:v>207505</x:v>
      </x:c>
      <x:c r="B373" s="11" t="str">
        <x:v>Fiber Arts - Weaving - On Loom: Intermediate to Advanced</x:v>
      </x:c>
      <x:c r="C373" s="11" t="str">
        <x:v>Multnomah Arts Ctr</x:v>
      </x:c>
      <x:c r="D373" s="11" t="str">
        <x:v>Arts &amp; Crafts - Fiber &amp; Handcrafts</x:v>
      </x:c>
      <x:c r="E373" s="8" t="str">
        <x:v>future</x:v>
      </x:c>
      <x:c r="F373" s="8" t="str">
        <x:v>2026-10-01</x:v>
      </x:c>
      <x:c r="G373" s="8" t="str">
        <x:v>2026-12-10</x:v>
      </x:c>
      <x:c r="H373" s="8" t="n">
        <x:v>9</x:v>
      </x:c>
      <x:c r="I373" s="8"/>
      <x:c r="J373" s="8" t="n">
        <x:v>10</x:v>
      </x:c>
      <x:c r="K373" s="8" t="str">
        <x:v>unverified-denominator</x:v>
      </x:c>
      <x:c r="L373" s="8" t="d">
        <x:v>2026-09-16T05:12:38.111Z</x:v>
      </x:c>
      <x:c r="M373" s="8" t="str">
        <x:v>https://apm.activecommunities.com/portlandparks/Activity_Search/fiber-arts---weaving---on-loom-intermediate-to-advanced/207505?locale=en-US</x:v>
      </x:c>
    </x:row>
    <x:row r="374" ht="38" customHeight="1">
      <x:c r="A374" s="7" t="str">
        <x:v>207506</x:v>
      </x:c>
      <x:c r="B374" s="12" t="str">
        <x:v>Fiber Arts - Weaving - Table Loom: Beginning</x:v>
      </x:c>
      <x:c r="C374" s="12" t="str">
        <x:v>Multnomah Arts Ctr</x:v>
      </x:c>
      <x:c r="D374" s="12" t="str">
        <x:v>Arts &amp; Crafts - Fiber &amp; Handcrafts</x:v>
      </x:c>
      <x:c r="E374" s="7" t="str">
        <x:v>future</x:v>
      </x:c>
      <x:c r="F374" s="7" t="str">
        <x:v>2026-09-28</x:v>
      </x:c>
      <x:c r="G374" s="7" t="str">
        <x:v>2026-11-30</x:v>
      </x:c>
      <x:c r="H374" s="7" t="n">
        <x:v>5</x:v>
      </x:c>
      <x:c r="I374" s="7" t="n">
        <x:v>11</x:v>
      </x:c>
      <x:c r="J374" s="7" t="n">
        <x:v>5</x:v>
      </x:c>
      <x:c r="K374" s="7" t="str">
        <x:v>unverified-denominator</x:v>
      </x:c>
      <x:c r="L374" s="7" t="d">
        <x:v>2026-09-16T05:12:38.111Z</x:v>
      </x:c>
      <x:c r="M374" s="7" t="str">
        <x:v>https://apm.activecommunities.com/portlandparks/Activity_Search/fiber-arts---weaving---table-loom-beginning/207506?locale=en-US</x:v>
      </x:c>
    </x:row>
    <x:row r="375" ht="38" customHeight="1">
      <x:c r="A375" s="8" t="str">
        <x:v>207508</x:v>
      </x:c>
      <x:c r="B375" s="11" t="str">
        <x:v>Fiber Arts - Weaving - Table Loom: Handwoven Placemats</x:v>
      </x:c>
      <x:c r="C375" s="11" t="str">
        <x:v>Multnomah Arts Ctr</x:v>
      </x:c>
      <x:c r="D375" s="11" t="str">
        <x:v>Arts &amp; Crafts - Fiber &amp; Handcrafts</x:v>
      </x:c>
      <x:c r="E375" s="8" t="str">
        <x:v>future</x:v>
      </x:c>
      <x:c r="F375" s="8" t="str">
        <x:v>2026-11-03</x:v>
      </x:c>
      <x:c r="G375" s="8" t="str">
        <x:v>2026-12-01</x:v>
      </x:c>
      <x:c r="H375" s="8" t="n">
        <x:v>0</x:v>
      </x:c>
      <x:c r="I375" s="8"/>
      <x:c r="J375" s="8" t="n">
        <x:v>5</x:v>
      </x:c>
      <x:c r="K375" s="8" t="str">
        <x:v>unverified-denominator</x:v>
      </x:c>
      <x:c r="L375" s="8" t="d">
        <x:v>2026-09-16T05:12:38.111Z</x:v>
      </x:c>
      <x:c r="M375" s="8" t="str">
        <x:v>https://apm.activecommunities.com/portlandparks/Activity_Search/fiber-arts---weaving---table-loom-handwoven-placemats/207508?locale=en-US</x:v>
      </x:c>
    </x:row>
    <x:row r="376" ht="38" customHeight="1">
      <x:c r="A376" s="7" t="str">
        <x:v>207507</x:v>
      </x:c>
      <x:c r="B376" s="12" t="str">
        <x:v>Fiber Arts - Weaving - Table Loom: Mug Rugs</x:v>
      </x:c>
      <x:c r="C376" s="12" t="str">
        <x:v>Multnomah Arts Ctr</x:v>
      </x:c>
      <x:c r="D376" s="12" t="str">
        <x:v>Arts &amp; Crafts - Fiber &amp; Handcrafts</x:v>
      </x:c>
      <x:c r="E376" s="7" t="str">
        <x:v>future</x:v>
      </x:c>
      <x:c r="F376" s="7" t="str">
        <x:v>2026-09-30</x:v>
      </x:c>
      <x:c r="G376" s="7" t="str">
        <x:v>2026-10-28</x:v>
      </x:c>
      <x:c r="H376" s="7" t="n">
        <x:v>3</x:v>
      </x:c>
      <x:c r="I376" s="7"/>
      <x:c r="J376" s="7" t="n">
        <x:v>5</x:v>
      </x:c>
      <x:c r="K376" s="7" t="str">
        <x:v>unverified-denominator</x:v>
      </x:c>
      <x:c r="L376" s="7" t="d">
        <x:v>2026-09-16T05:12:38.111Z</x:v>
      </x:c>
      <x:c r="M376" s="7" t="str">
        <x:v>https://apm.activecommunities.com/portlandparks/Activity_Search/fiber-arts---weaving---table-loom-mug-rugs/207507?locale=en-US</x:v>
      </x:c>
    </x:row>
    <x:row r="377" ht="38" customHeight="1">
      <x:c r="A377" s="8" t="str">
        <x:v>207509</x:v>
      </x:c>
      <x:c r="B377" s="11" t="str">
        <x:v>Fiber Arts - Youth: Fun with Fiber</x:v>
      </x:c>
      <x:c r="C377" s="11" t="str">
        <x:v>Multnomah Arts Ctr</x:v>
      </x:c>
      <x:c r="D377" s="11" t="str">
        <x:v>Arts &amp; Crafts - Fiber &amp; Handcrafts</x:v>
      </x:c>
      <x:c r="E377" s="8" t="str">
        <x:v>future</x:v>
      </x:c>
      <x:c r="F377" s="8" t="str">
        <x:v>2026-09-29</x:v>
      </x:c>
      <x:c r="G377" s="8" t="str">
        <x:v>2026-12-01</x:v>
      </x:c>
      <x:c r="H377" s="8" t="n">
        <x:v>7</x:v>
      </x:c>
      <x:c r="I377" s="8"/>
      <x:c r="J377" s="8" t="n">
        <x:v>10</x:v>
      </x:c>
      <x:c r="K377" s="8" t="str">
        <x:v>unverified-denominator</x:v>
      </x:c>
      <x:c r="L377" s="8" t="d">
        <x:v>2026-09-16T05:12:38.111Z</x:v>
      </x:c>
      <x:c r="M377" s="8" t="str">
        <x:v>https://apm.activecommunities.com/portlandparks/Activity_Search/fiber-arts---youth-fun-with-fiber/207509?locale=en-US</x:v>
      </x:c>
    </x:row>
    <x:row r="378" ht="38" customHeight="1">
      <x:c r="A378" s="7" t="str">
        <x:v>207510</x:v>
      </x:c>
      <x:c r="B378" s="12" t="str">
        <x:v>Fiber Arts - Youth: Fun with Fiber</x:v>
      </x:c>
      <x:c r="C378" s="12" t="str">
        <x:v>Multnomah Arts Ctr</x:v>
      </x:c>
      <x:c r="D378" s="12" t="str">
        <x:v>Arts &amp; Crafts - Fiber &amp; Handcrafts</x:v>
      </x:c>
      <x:c r="E378" s="7" t="str">
        <x:v>future</x:v>
      </x:c>
      <x:c r="F378" s="7" t="str">
        <x:v>2026-09-29</x:v>
      </x:c>
      <x:c r="G378" s="7" t="str">
        <x:v>2026-12-01</x:v>
      </x:c>
      <x:c r="H378" s="7" t="n">
        <x:v>5</x:v>
      </x:c>
      <x:c r="I378" s="7"/>
      <x:c r="J378" s="7" t="n">
        <x:v>10</x:v>
      </x:c>
      <x:c r="K378" s="7" t="str">
        <x:v>unverified-denominator</x:v>
      </x:c>
      <x:c r="L378" s="7" t="d">
        <x:v>2026-09-16T05:12:38.111Z</x:v>
      </x:c>
      <x:c r="M378" s="7" t="str">
        <x:v>https://apm.activecommunities.com/portlandparks/Activity_Search/fiber-arts---youth-fun-with-fiber/207510?locale=en-US</x:v>
      </x:c>
    </x:row>
    <x:row r="379" ht="38" customHeight="1">
      <x:c r="A379" s="8" t="str">
        <x:v>208464</x:v>
      </x:c>
      <x:c r="B379" s="11" t="str">
        <x:v>Fiber Arts - Youth: Fun with Fiber</x:v>
      </x:c>
      <x:c r="C379" s="11" t="str">
        <x:v>Multnomah Arts Ctr</x:v>
      </x:c>
      <x:c r="D379" s="11" t="str">
        <x:v>Arts &amp; Crafts - Fiber &amp; Handcrafts</x:v>
      </x:c>
      <x:c r="E379" s="8" t="str">
        <x:v>future</x:v>
      </x:c>
      <x:c r="F379" s="8" t="str">
        <x:v>2026-10-03</x:v>
      </x:c>
      <x:c r="G379" s="8" t="str">
        <x:v>2026-10-24</x:v>
      </x:c>
      <x:c r="H379" s="8" t="n">
        <x:v>8</x:v>
      </x:c>
      <x:c r="I379" s="8"/>
      <x:c r="J379" s="8" t="n">
        <x:v>10</x:v>
      </x:c>
      <x:c r="K379" s="8" t="str">
        <x:v>unverified-denominator</x:v>
      </x:c>
      <x:c r="L379" s="8" t="d">
        <x:v>2026-09-16T05:12:38.111Z</x:v>
      </x:c>
      <x:c r="M379" s="8" t="str">
        <x:v>https://apm.activecommunities.com/portlandparks/Activity_Search/fiber-arts---youth-fun-with-fiber/208464?locale=en-US</x:v>
      </x:c>
    </x:row>
    <x:row r="380" ht="38" customHeight="1">
      <x:c r="A380" s="7" t="str">
        <x:v>207885</x:v>
      </x:c>
      <x:c r="B380" s="12" t="str">
        <x:v>Fitness - Balance and Agility</x:v>
      </x:c>
      <x:c r="C380" s="12" t="str">
        <x:v>Woodstock Cmty Ctr</x:v>
      </x:c>
      <x:c r="D380" s="12" t="str">
        <x:v>Fitness</x:v>
      </x:c>
      <x:c r="E380" s="7" t="str">
        <x:v>active</x:v>
      </x:c>
      <x:c r="F380" s="7" t="str">
        <x:v>2026-08-31</x:v>
      </x:c>
      <x:c r="G380" s="7" t="str">
        <x:v>2026-09-21</x:v>
      </x:c>
      <x:c r="H380" s="7" t="n">
        <x:v>5</x:v>
      </x:c>
      <x:c r="I380" s="7"/>
      <x:c r="J380" s="7" t="n">
        <x:v>10</x:v>
      </x:c>
      <x:c r="K380" s="7" t="str">
        <x:v>unverified-denominator</x:v>
      </x:c>
      <x:c r="L380" s="7" t="d">
        <x:v>2026-09-16T05:12:38.111Z</x:v>
      </x:c>
      <x:c r="M380" s="7" t="str">
        <x:v>https://apm.activecommunities.com/portlandparks/Activity_Search/fitness---balance-and-agility/207885?locale=en-US</x:v>
      </x:c>
    </x:row>
    <x:row r="381" ht="38" customHeight="1">
      <x:c r="A381" s="8" t="str">
        <x:v>207886</x:v>
      </x:c>
      <x:c r="B381" s="11" t="str">
        <x:v>Fitness - Balance and Agility</x:v>
      </x:c>
      <x:c r="C381" s="11" t="str">
        <x:v>Woodstock Cmty Ctr</x:v>
      </x:c>
      <x:c r="D381" s="11" t="str">
        <x:v>Fitness</x:v>
      </x:c>
      <x:c r="E381" s="8" t="str">
        <x:v>active</x:v>
      </x:c>
      <x:c r="F381" s="8" t="str">
        <x:v>2026-09-02</x:v>
      </x:c>
      <x:c r="G381" s="8" t="str">
        <x:v>2026-09-23</x:v>
      </x:c>
      <x:c r="H381" s="8" t="n">
        <x:v>10</x:v>
      </x:c>
      <x:c r="I381" s="8"/>
      <x:c r="J381" s="8" t="n">
        <x:v>10</x:v>
      </x:c>
      <x:c r="K381" s="8" t="str">
        <x:v>unverified-denominator</x:v>
      </x:c>
      <x:c r="L381" s="8" t="d">
        <x:v>2026-09-16T05:12:38.111Z</x:v>
      </x:c>
      <x:c r="M381" s="8" t="str">
        <x:v>https://apm.activecommunities.com/portlandparks/Activity_Search/fitness---balance-and-agility/207886?locale=en-US</x:v>
      </x:c>
    </x:row>
    <x:row r="382" ht="38" customHeight="1">
      <x:c r="A382" s="7" t="str">
        <x:v>207887</x:v>
      </x:c>
      <x:c r="B382" s="12" t="str">
        <x:v>Fitness - Balance and Agility</x:v>
      </x:c>
      <x:c r="C382" s="12" t="str">
        <x:v>Woodstock Cmty Ctr</x:v>
      </x:c>
      <x:c r="D382" s="12" t="str">
        <x:v>Fitness</x:v>
      </x:c>
      <x:c r="E382" s="7" t="str">
        <x:v>future</x:v>
      </x:c>
      <x:c r="F382" s="7" t="str">
        <x:v>2026-09-28</x:v>
      </x:c>
      <x:c r="G382" s="7" t="str">
        <x:v>2026-10-26</x:v>
      </x:c>
      <x:c r="H382" s="7" t="n">
        <x:v>9</x:v>
      </x:c>
      <x:c r="I382" s="7"/>
      <x:c r="J382" s="7" t="n">
        <x:v>10</x:v>
      </x:c>
      <x:c r="K382" s="7" t="str">
        <x:v>unverified-denominator</x:v>
      </x:c>
      <x:c r="L382" s="7" t="d">
        <x:v>2026-09-16T05:12:38.111Z</x:v>
      </x:c>
      <x:c r="M382" s="7" t="str">
        <x:v>https://apm.activecommunities.com/portlandparks/Activity_Search/fitness---balance-and-agility/207887?locale=en-US</x:v>
      </x:c>
    </x:row>
    <x:row r="383" ht="38" customHeight="1">
      <x:c r="A383" s="8" t="str">
        <x:v>207890</x:v>
      </x:c>
      <x:c r="B383" s="11" t="str">
        <x:v>Fitness - Balance and Agility</x:v>
      </x:c>
      <x:c r="C383" s="11" t="str">
        <x:v>Woodstock Cmty Ctr</x:v>
      </x:c>
      <x:c r="D383" s="11" t="str">
        <x:v>Fitness</x:v>
      </x:c>
      <x:c r="E383" s="8" t="str">
        <x:v>future</x:v>
      </x:c>
      <x:c r="F383" s="8" t="str">
        <x:v>2026-11-04</x:v>
      </x:c>
      <x:c r="G383" s="8" t="str">
        <x:v>2026-12-09</x:v>
      </x:c>
      <x:c r="H383" s="8" t="n">
        <x:v>0</x:v>
      </x:c>
      <x:c r="I383" s="8"/>
      <x:c r="J383" s="8" t="n">
        <x:v>10</x:v>
      </x:c>
      <x:c r="K383" s="8" t="str">
        <x:v>unverified-denominator</x:v>
      </x:c>
      <x:c r="L383" s="8" t="d">
        <x:v>2026-09-16T05:12:38.111Z</x:v>
      </x:c>
      <x:c r="M383" s="8" t="str">
        <x:v>https://apm.activecommunities.com/portlandparks/Activity_Search/fitness---balance-and-agility/207890?locale=en-US</x:v>
      </x:c>
    </x:row>
    <x:row r="384" ht="38" customHeight="1">
      <x:c r="A384" s="7" t="str">
        <x:v>207891</x:v>
      </x:c>
      <x:c r="B384" s="12" t="str">
        <x:v>Fitness - Balance and Agility</x:v>
      </x:c>
      <x:c r="C384" s="12" t="str">
        <x:v>Woodstock Cmty Ctr</x:v>
      </x:c>
      <x:c r="D384" s="12" t="str">
        <x:v>Fitness</x:v>
      </x:c>
      <x:c r="E384" s="7" t="str">
        <x:v>future</x:v>
      </x:c>
      <x:c r="F384" s="7" t="str">
        <x:v>2026-11-02</x:v>
      </x:c>
      <x:c r="G384" s="7" t="str">
        <x:v>2026-12-07</x:v>
      </x:c>
      <x:c r="H384" s="7" t="n">
        <x:v>0</x:v>
      </x:c>
      <x:c r="I384" s="7"/>
      <x:c r="J384" s="7" t="n">
        <x:v>10</x:v>
      </x:c>
      <x:c r="K384" s="7" t="str">
        <x:v>unverified-denominator</x:v>
      </x:c>
      <x:c r="L384" s="7" t="d">
        <x:v>2026-09-16T05:12:38.111Z</x:v>
      </x:c>
      <x:c r="M384" s="7" t="str">
        <x:v>https://apm.activecommunities.com/portlandparks/Activity_Search/fitness---balance-and-agility/207891?locale=en-US</x:v>
      </x:c>
    </x:row>
    <x:row r="385" ht="38" customHeight="1">
      <x:c r="A385" s="8" t="str">
        <x:v>207684</x:v>
      </x:c>
      <x:c r="B385" s="11" t="str">
        <x:v>Fitness - Balance and Agility</x:v>
      </x:c>
      <x:c r="C385" s="11" t="str">
        <x:v>Woodstock Cmty Ctr</x:v>
      </x:c>
      <x:c r="D385" s="11" t="str">
        <x:v>Fitness</x:v>
      </x:c>
      <x:c r="E385" s="8" t="str">
        <x:v>future</x:v>
      </x:c>
      <x:c r="F385" s="8" t="str">
        <x:v>2026-09-30</x:v>
      </x:c>
      <x:c r="G385" s="8" t="str">
        <x:v>2026-10-28</x:v>
      </x:c>
      <x:c r="H385" s="8" t="n">
        <x:v>7</x:v>
      </x:c>
      <x:c r="I385" s="8"/>
      <x:c r="J385" s="8" t="n">
        <x:v>10</x:v>
      </x:c>
      <x:c r="K385" s="8" t="str">
        <x:v>unverified-denominator</x:v>
      </x:c>
      <x:c r="L385" s="8" t="d">
        <x:v>2026-09-16T05:12:38.111Z</x:v>
      </x:c>
      <x:c r="M385" s="8" t="str">
        <x:v>https://apm.activecommunities.com/portlandparks/Activity_Search/fitness---balance-and-agility/207684?locale=en-US</x:v>
      </x:c>
    </x:row>
    <x:row r="386" ht="38" customHeight="1">
      <x:c r="A386" s="7" t="str">
        <x:v>204679</x:v>
      </x:c>
      <x:c r="B386" s="12" t="str">
        <x:v>Fitness - Barre Fitness</x:v>
      </x:c>
      <x:c r="C386" s="12" t="str">
        <x:v>Woodstock Cmty Ctr</x:v>
      </x:c>
      <x:c r="D386" s="12" t="str">
        <x:v>Fitness</x:v>
      </x:c>
      <x:c r="E386" s="7" t="str">
        <x:v>active</x:v>
      </x:c>
      <x:c r="F386" s="7" t="str">
        <x:v>2026-08-31</x:v>
      </x:c>
      <x:c r="G386" s="7" t="str">
        <x:v>2026-09-21</x:v>
      </x:c>
      <x:c r="H386" s="7" t="n">
        <x:v>9</x:v>
      </x:c>
      <x:c r="I386" s="7" t="n">
        <x:v>3</x:v>
      </x:c>
      <x:c r="J386" s="7" t="n">
        <x:v>10</x:v>
      </x:c>
      <x:c r="K386" s="7" t="str">
        <x:v>unverified-denominator</x:v>
      </x:c>
      <x:c r="L386" s="7" t="d">
        <x:v>2026-09-16T05:12:38.111Z</x:v>
      </x:c>
      <x:c r="M386" s="7" t="str">
        <x:v>https://apm.activecommunities.com/portlandparks/Activity_Search/fitness---barre-fitness/204679?locale=en-US</x:v>
      </x:c>
    </x:row>
    <x:row r="387" ht="38" customHeight="1">
      <x:c r="A387" s="8" t="str">
        <x:v>207655</x:v>
      </x:c>
      <x:c r="B387" s="11" t="str">
        <x:v>Fitness - Barre Fitness</x:v>
      </x:c>
      <x:c r="C387" s="11" t="str">
        <x:v>Woodstock Cmty Ctr</x:v>
      </x:c>
      <x:c r="D387" s="11" t="str">
        <x:v>Fitness</x:v>
      </x:c>
      <x:c r="E387" s="8" t="str">
        <x:v>future</x:v>
      </x:c>
      <x:c r="F387" s="8" t="str">
        <x:v>2026-09-28</x:v>
      </x:c>
      <x:c r="G387" s="8" t="str">
        <x:v>2026-10-19</x:v>
      </x:c>
      <x:c r="H387" s="8" t="n">
        <x:v>10</x:v>
      </x:c>
      <x:c r="I387" s="8" t="n">
        <x:v>1</x:v>
      </x:c>
      <x:c r="J387" s="8" t="n">
        <x:v>10</x:v>
      </x:c>
      <x:c r="K387" s="8" t="str">
        <x:v>unverified-denominator</x:v>
      </x:c>
      <x:c r="L387" s="8" t="d">
        <x:v>2026-09-16T05:12:38.111Z</x:v>
      </x:c>
      <x:c r="M387" s="8" t="str">
        <x:v>https://apm.activecommunities.com/portlandparks/Activity_Search/fitness---barre-fitness/207655?locale=en-US</x:v>
      </x:c>
    </x:row>
    <x:row r="388" ht="38" customHeight="1">
      <x:c r="A388" s="7" t="str">
        <x:v>207657</x:v>
      </x:c>
      <x:c r="B388" s="12" t="str">
        <x:v>Fitness - Barre Fitness</x:v>
      </x:c>
      <x:c r="C388" s="12" t="str">
        <x:v>Woodstock Cmty Ctr</x:v>
      </x:c>
      <x:c r="D388" s="12" t="str">
        <x:v>Fitness</x:v>
      </x:c>
      <x:c r="E388" s="7" t="str">
        <x:v>future</x:v>
      </x:c>
      <x:c r="F388" s="7" t="str">
        <x:v>2026-10-01</x:v>
      </x:c>
      <x:c r="G388" s="7" t="str">
        <x:v>2026-10-29</x:v>
      </x:c>
      <x:c r="H388" s="7" t="n">
        <x:v>10</x:v>
      </x:c>
      <x:c r="I388" s="7"/>
      <x:c r="J388" s="7" t="n">
        <x:v>10</x:v>
      </x:c>
      <x:c r="K388" s="7" t="str">
        <x:v>unverified-denominator</x:v>
      </x:c>
      <x:c r="L388" s="7" t="d">
        <x:v>2026-09-16T05:12:38.111Z</x:v>
      </x:c>
      <x:c r="M388" s="7" t="str">
        <x:v>https://apm.activecommunities.com/portlandparks/Activity_Search/fitness---barre-fitness/207657?locale=en-US</x:v>
      </x:c>
    </x:row>
    <x:row r="389" ht="38" customHeight="1">
      <x:c r="A389" s="8" t="str">
        <x:v>207892</x:v>
      </x:c>
      <x:c r="B389" s="11" t="str">
        <x:v>Fitness - Barre Fitness</x:v>
      </x:c>
      <x:c r="C389" s="11" t="str">
        <x:v>Woodstock Cmty Ctr</x:v>
      </x:c>
      <x:c r="D389" s="11" t="str">
        <x:v>Fitness</x:v>
      </x:c>
      <x:c r="E389" s="8" t="str">
        <x:v>future</x:v>
      </x:c>
      <x:c r="F389" s="8" t="str">
        <x:v>2026-11-02</x:v>
      </x:c>
      <x:c r="G389" s="8" t="str">
        <x:v>2026-12-07</x:v>
      </x:c>
      <x:c r="H389" s="8" t="n">
        <x:v>0</x:v>
      </x:c>
      <x:c r="I389" s="8"/>
      <x:c r="J389" s="8" t="n">
        <x:v>10</x:v>
      </x:c>
      <x:c r="K389" s="8" t="str">
        <x:v>unverified-denominator</x:v>
      </x:c>
      <x:c r="L389" s="8" t="d">
        <x:v>2026-09-16T05:12:38.111Z</x:v>
      </x:c>
      <x:c r="M389" s="8" t="str">
        <x:v>https://apm.activecommunities.com/portlandparks/Activity_Search/fitness---barre-fitness/207892?locale=en-US</x:v>
      </x:c>
    </x:row>
    <x:row r="390" ht="38" customHeight="1">
      <x:c r="A390" s="7" t="str">
        <x:v>207894</x:v>
      </x:c>
      <x:c r="B390" s="12" t="str">
        <x:v>Fitness - Barre Fitness</x:v>
      </x:c>
      <x:c r="C390" s="12" t="str">
        <x:v>Woodstock Cmty Ctr</x:v>
      </x:c>
      <x:c r="D390" s="12" t="str">
        <x:v>Fitness</x:v>
      </x:c>
      <x:c r="E390" s="7" t="str">
        <x:v>future</x:v>
      </x:c>
      <x:c r="F390" s="7" t="str">
        <x:v>2026-11-12</x:v>
      </x:c>
      <x:c r="G390" s="7" t="str">
        <x:v>2026-12-10</x:v>
      </x:c>
      <x:c r="H390" s="7" t="n">
        <x:v>0</x:v>
      </x:c>
      <x:c r="I390" s="7"/>
      <x:c r="J390" s="7" t="n">
        <x:v>10</x:v>
      </x:c>
      <x:c r="K390" s="7" t="str">
        <x:v>unverified-denominator</x:v>
      </x:c>
      <x:c r="L390" s="7" t="d">
        <x:v>2026-09-16T05:12:38.111Z</x:v>
      </x:c>
      <x:c r="M390" s="7" t="str">
        <x:v>https://apm.activecommunities.com/portlandparks/Activity_Search/fitness---barre-fitness/207894?locale=en-US</x:v>
      </x:c>
    </x:row>
    <x:row r="391" ht="38" customHeight="1">
      <x:c r="A391" s="8" t="str">
        <x:v>207619</x:v>
      </x:c>
      <x:c r="B391" s="11" t="str">
        <x:v>Fitness - Barre Fitness</x:v>
      </x:c>
      <x:c r="C391" s="11" t="str">
        <x:v>Woodstock Cmty Ctr</x:v>
      </x:c>
      <x:c r="D391" s="11" t="str">
        <x:v>Fitness</x:v>
      </x:c>
      <x:c r="E391" s="8" t="str">
        <x:v>active</x:v>
      </x:c>
      <x:c r="F391" s="8" t="str">
        <x:v>2026-09-03</x:v>
      </x:c>
      <x:c r="G391" s="8" t="str">
        <x:v>2026-09-24</x:v>
      </x:c>
      <x:c r="H391" s="8" t="n">
        <x:v>10</x:v>
      </x:c>
      <x:c r="I391" s="8"/>
      <x:c r="J391" s="8" t="n">
        <x:v>10</x:v>
      </x:c>
      <x:c r="K391" s="8" t="str">
        <x:v>unverified-denominator</x:v>
      </x:c>
      <x:c r="L391" s="8" t="d">
        <x:v>2026-09-16T05:12:38.111Z</x:v>
      </x:c>
      <x:c r="M391" s="8" t="str">
        <x:v>https://apm.activecommunities.com/portlandparks/Activity_Search/fitness---barre-fitness/207619?locale=en-US</x:v>
      </x:c>
    </x:row>
    <x:row r="392" ht="38" customHeight="1">
      <x:c r="A392" s="7" t="str">
        <x:v>207895</x:v>
      </x:c>
      <x:c r="B392" s="12" t="str">
        <x:v>Fitness - Bone Strength</x:v>
      </x:c>
      <x:c r="C392" s="12" t="str">
        <x:v>Woodstock Cmty Ctr</x:v>
      </x:c>
      <x:c r="D392" s="12" t="str">
        <x:v>Fitness</x:v>
      </x:c>
      <x:c r="E392" s="7" t="str">
        <x:v>future</x:v>
      </x:c>
      <x:c r="F392" s="7" t="str">
        <x:v>2026-11-06</x:v>
      </x:c>
      <x:c r="G392" s="7" t="str">
        <x:v>2026-12-11</x:v>
      </x:c>
      <x:c r="H392" s="7" t="n">
        <x:v>0</x:v>
      </x:c>
      <x:c r="I392" s="7"/>
      <x:c r="J392" s="7" t="n">
        <x:v>10</x:v>
      </x:c>
      <x:c r="K392" s="7" t="str">
        <x:v>unverified-denominator</x:v>
      </x:c>
      <x:c r="L392" s="7" t="d">
        <x:v>2026-09-16T05:12:38.111Z</x:v>
      </x:c>
      <x:c r="M392" s="7" t="str">
        <x:v>https://apm.activecommunities.com/portlandparks/Activity_Search/fitness---bone-strength/207895?locale=en-US</x:v>
      </x:c>
    </x:row>
    <x:row r="393" ht="38" customHeight="1">
      <x:c r="A393" s="8" t="str">
        <x:v>207658</x:v>
      </x:c>
      <x:c r="B393" s="11" t="str">
        <x:v>Fitness - Bone Strength</x:v>
      </x:c>
      <x:c r="C393" s="11" t="str">
        <x:v>Woodstock Cmty Ctr</x:v>
      </x:c>
      <x:c r="D393" s="11" t="str">
        <x:v>Fitness</x:v>
      </x:c>
      <x:c r="E393" s="8" t="str">
        <x:v>future</x:v>
      </x:c>
      <x:c r="F393" s="8" t="str">
        <x:v>2026-10-09</x:v>
      </x:c>
      <x:c r="G393" s="8" t="str">
        <x:v>2026-10-30</x:v>
      </x:c>
      <x:c r="H393" s="8" t="n">
        <x:v>10</x:v>
      </x:c>
      <x:c r="I393" s="8" t="n">
        <x:v>3</x:v>
      </x:c>
      <x:c r="J393" s="8" t="n">
        <x:v>10</x:v>
      </x:c>
      <x:c r="K393" s="8" t="str">
        <x:v>unverified-denominator</x:v>
      </x:c>
      <x:c r="L393" s="8" t="d">
        <x:v>2026-09-16T05:12:38.111Z</x:v>
      </x:c>
      <x:c r="M393" s="8" t="str">
        <x:v>https://apm.activecommunities.com/portlandparks/Activity_Search/fitness---bone-strength/207658?locale=en-US</x:v>
      </x:c>
    </x:row>
    <x:row r="394" ht="38" customHeight="1">
      <x:c r="A394" s="7" t="str">
        <x:v>204680</x:v>
      </x:c>
      <x:c r="B394" s="12" t="str">
        <x:v>Fitness - Bone Strength</x:v>
      </x:c>
      <x:c r="C394" s="12" t="str">
        <x:v>Woodstock Cmty Ctr</x:v>
      </x:c>
      <x:c r="D394" s="12" t="str">
        <x:v>Fitness</x:v>
      </x:c>
      <x:c r="E394" s="7" t="str">
        <x:v>active</x:v>
      </x:c>
      <x:c r="F394" s="7" t="str">
        <x:v>2026-09-04</x:v>
      </x:c>
      <x:c r="G394" s="7" t="str">
        <x:v>2026-09-18</x:v>
      </x:c>
      <x:c r="H394" s="7" t="n">
        <x:v>10</x:v>
      </x:c>
      <x:c r="I394" s="7" t="n">
        <x:v>3</x:v>
      </x:c>
      <x:c r="J394" s="7" t="n">
        <x:v>10</x:v>
      </x:c>
      <x:c r="K394" s="7" t="str">
        <x:v>unverified-denominator</x:v>
      </x:c>
      <x:c r="L394" s="7" t="d">
        <x:v>2026-09-16T05:12:38.111Z</x:v>
      </x:c>
      <x:c r="M394" s="7" t="str">
        <x:v>https://apm.activecommunities.com/portlandparks/Activity_Search/fitness---bone-strength/204680?locale=en-US</x:v>
      </x:c>
    </x:row>
    <x:row r="395" ht="38" customHeight="1">
      <x:c r="A395" s="8" t="str">
        <x:v>208443</x:v>
      </x:c>
      <x:c r="B395" s="11" t="str">
        <x:v>Fitness - Chair Core Strength</x:v>
      </x:c>
      <x:c r="C395" s="11" t="str">
        <x:v>St Johns Cmty Ctr</x:v>
      </x:c>
      <x:c r="D395" s="11" t="str">
        <x:v>Fitness</x:v>
      </x:c>
      <x:c r="E395" s="8" t="str">
        <x:v>future</x:v>
      </x:c>
      <x:c r="F395" s="8" t="str">
        <x:v>2026-11-12</x:v>
      </x:c>
      <x:c r="G395" s="8" t="str">
        <x:v>2026-12-10</x:v>
      </x:c>
      <x:c r="H395" s="8" t="n">
        <x:v>0</x:v>
      </x:c>
      <x:c r="I395" s="8"/>
      <x:c r="J395" s="8" t="n">
        <x:v>10</x:v>
      </x:c>
      <x:c r="K395" s="8" t="str">
        <x:v>unverified-denominator</x:v>
      </x:c>
      <x:c r="L395" s="8" t="d">
        <x:v>2026-09-16T05:12:38.111Z</x:v>
      </x:c>
      <x:c r="M395" s="8" t="str">
        <x:v>https://apm.activecommunities.com/portlandparks/Activity_Search/fitness---chair-core-strength/208443?locale=en-US</x:v>
      </x:c>
    </x:row>
    <x:row r="396" ht="38" customHeight="1">
      <x:c r="A396" s="7" t="str">
        <x:v>208440</x:v>
      </x:c>
      <x:c r="B396" s="12" t="str">
        <x:v>Fitness - Chair Core Strength</x:v>
      </x:c>
      <x:c r="C396" s="12" t="str">
        <x:v>St Johns Cmty Ctr</x:v>
      </x:c>
      <x:c r="D396" s="12" t="str">
        <x:v>Fitness</x:v>
      </x:c>
      <x:c r="E396" s="7" t="str">
        <x:v>future</x:v>
      </x:c>
      <x:c r="F396" s="7" t="str">
        <x:v>2026-10-01</x:v>
      </x:c>
      <x:c r="G396" s="7" t="str">
        <x:v>2026-10-29</x:v>
      </x:c>
      <x:c r="H396" s="7" t="n">
        <x:v>2</x:v>
      </x:c>
      <x:c r="I396" s="7"/>
      <x:c r="J396" s="7" t="n">
        <x:v>10</x:v>
      </x:c>
      <x:c r="K396" s="7" t="str">
        <x:v>unverified-denominator</x:v>
      </x:c>
      <x:c r="L396" s="7" t="d">
        <x:v>2026-09-16T05:12:38.111Z</x:v>
      </x:c>
      <x:c r="M396" s="7" t="str">
        <x:v>https://apm.activecommunities.com/portlandparks/Activity_Search/fitness---chair-core-strength/208440?locale=en-US</x:v>
      </x:c>
    </x:row>
    <x:row r="397" ht="38" customHeight="1">
      <x:c r="A397" s="8" t="str">
        <x:v>208431</x:v>
      </x:c>
      <x:c r="B397" s="11" t="str">
        <x:v>Fitness - Chair Yoga</x:v>
      </x:c>
      <x:c r="C397" s="11" t="str">
        <x:v>St Johns Cmty Ctr</x:v>
      </x:c>
      <x:c r="D397" s="11" t="str">
        <x:v>Fitness</x:v>
      </x:c>
      <x:c r="E397" s="8" t="str">
        <x:v>future</x:v>
      </x:c>
      <x:c r="F397" s="8" t="str">
        <x:v>2026-09-30</x:v>
      </x:c>
      <x:c r="G397" s="8" t="str">
        <x:v>2026-10-28</x:v>
      </x:c>
      <x:c r="H397" s="8" t="n">
        <x:v>2</x:v>
      </x:c>
      <x:c r="I397" s="8"/>
      <x:c r="J397" s="8" t="n">
        <x:v>10</x:v>
      </x:c>
      <x:c r="K397" s="8" t="str">
        <x:v>unverified-denominator</x:v>
      </x:c>
      <x:c r="L397" s="8" t="d">
        <x:v>2026-09-16T05:12:38.111Z</x:v>
      </x:c>
      <x:c r="M397" s="8" t="str">
        <x:v>https://apm.activecommunities.com/portlandparks/Activity_Search/fitness---chair-yoga/208431?locale=en-US</x:v>
      </x:c>
    </x:row>
    <x:row r="398" ht="38" customHeight="1">
      <x:c r="A398" s="7" t="str">
        <x:v>208432</x:v>
      </x:c>
      <x:c r="B398" s="12" t="str">
        <x:v>Fitness - Chair Yoga</x:v>
      </x:c>
      <x:c r="C398" s="12" t="str">
        <x:v>St Johns Cmty Ctr</x:v>
      </x:c>
      <x:c r="D398" s="12" t="str">
        <x:v>Fitness</x:v>
      </x:c>
      <x:c r="E398" s="7" t="str">
        <x:v>future</x:v>
      </x:c>
      <x:c r="F398" s="7" t="str">
        <x:v>2026-11-04</x:v>
      </x:c>
      <x:c r="G398" s="7" t="str">
        <x:v>2026-12-09</x:v>
      </x:c>
      <x:c r="H398" s="7" t="n">
        <x:v>0</x:v>
      </x:c>
      <x:c r="I398" s="7"/>
      <x:c r="J398" s="7" t="n">
        <x:v>10</x:v>
      </x:c>
      <x:c r="K398" s="7" t="str">
        <x:v>unverified-denominator</x:v>
      </x:c>
      <x:c r="L398" s="7" t="d">
        <x:v>2026-09-16T05:12:38.111Z</x:v>
      </x:c>
      <x:c r="M398" s="7" t="str">
        <x:v>https://apm.activecommunities.com/portlandparks/Activity_Search/fitness---chair-yoga/208432?locale=en-US</x:v>
      </x:c>
    </x:row>
    <x:row r="399" ht="38" customHeight="1">
      <x:c r="A399" s="8" t="str">
        <x:v>201113</x:v>
      </x:c>
      <x:c r="B399" s="11" t="str">
        <x:v>Fitness - Chair Yoga</x:v>
      </x:c>
      <x:c r="C399" s="11" t="str">
        <x:v>St Johns Cmty Ctr</x:v>
      </x:c>
      <x:c r="D399" s="11" t="str">
        <x:v>Fitness</x:v>
      </x:c>
      <x:c r="E399" s="8" t="str">
        <x:v>active</x:v>
      </x:c>
      <x:c r="F399" s="8" t="str">
        <x:v>2026-09-02</x:v>
      </x:c>
      <x:c r="G399" s="8" t="str">
        <x:v>2026-09-23</x:v>
      </x:c>
      <x:c r="H399" s="8" t="n">
        <x:v>10</x:v>
      </x:c>
      <x:c r="I399" s="8"/>
      <x:c r="J399" s="8" t="n">
        <x:v>10</x:v>
      </x:c>
      <x:c r="K399" s="8" t="str">
        <x:v>unverified-denominator</x:v>
      </x:c>
      <x:c r="L399" s="8" t="d">
        <x:v>2026-09-16T05:12:38.111Z</x:v>
      </x:c>
      <x:c r="M399" s="8" t="str">
        <x:v>https://apm.activecommunities.com/portlandparks/Activity_Search/fitness---chair-yoga/201113?locale=en-US</x:v>
      </x:c>
    </x:row>
    <x:row r="400" ht="38" customHeight="1">
      <x:c r="A400" s="7" t="str">
        <x:v>208776</x:v>
      </x:c>
      <x:c r="B400" s="12" t="str">
        <x:v>Fitness - Core Strength: Low Impact</x:v>
      </x:c>
      <x:c r="C400" s="12" t="str">
        <x:v>St Johns Cmty Ctr</x:v>
      </x:c>
      <x:c r="D400" s="12" t="str">
        <x:v>Fitness</x:v>
      </x:c>
      <x:c r="E400" s="7" t="str">
        <x:v>future</x:v>
      </x:c>
      <x:c r="F400" s="7" t="str">
        <x:v>2026-09-28</x:v>
      </x:c>
      <x:c r="G400" s="7" t="str">
        <x:v>2026-10-26</x:v>
      </x:c>
      <x:c r="H400" s="7" t="n">
        <x:v>1</x:v>
      </x:c>
      <x:c r="I400" s="7"/>
      <x:c r="J400" s="7" t="n">
        <x:v>10</x:v>
      </x:c>
      <x:c r="K400" s="7" t="str">
        <x:v>unverified-denominator</x:v>
      </x:c>
      <x:c r="L400" s="7" t="d">
        <x:v>2026-09-16T05:12:38.111Z</x:v>
      </x:c>
      <x:c r="M400" s="7" t="str">
        <x:v>https://apm.activecommunities.com/portlandparks/Activity_Search/fitness---core-strength-low-impact/208776?locale=en-US</x:v>
      </x:c>
    </x:row>
    <x:row r="401" ht="38" customHeight="1">
      <x:c r="A401" s="8" t="str">
        <x:v>208778</x:v>
      </x:c>
      <x:c r="B401" s="11" t="str">
        <x:v>Fitness - Core Strength: Low Impact</x:v>
      </x:c>
      <x:c r="C401" s="11" t="str">
        <x:v>St Johns Cmty Ctr</x:v>
      </x:c>
      <x:c r="D401" s="11" t="str">
        <x:v>Fitness</x:v>
      </x:c>
      <x:c r="E401" s="8" t="str">
        <x:v>future</x:v>
      </x:c>
      <x:c r="F401" s="8" t="str">
        <x:v>2026-11-02</x:v>
      </x:c>
      <x:c r="G401" s="8" t="str">
        <x:v>2026-12-07</x:v>
      </x:c>
      <x:c r="H401" s="8" t="n">
        <x:v>0</x:v>
      </x:c>
      <x:c r="I401" s="8"/>
      <x:c r="J401" s="8" t="n">
        <x:v>10</x:v>
      </x:c>
      <x:c r="K401" s="8" t="str">
        <x:v>unverified-denominator</x:v>
      </x:c>
      <x:c r="L401" s="8" t="d">
        <x:v>2026-09-16T05:12:38.111Z</x:v>
      </x:c>
      <x:c r="M401" s="8" t="str">
        <x:v>https://apm.activecommunities.com/portlandparks/Activity_Search/fitness---core-strength-low-impact/208778?locale=en-US</x:v>
      </x:c>
    </x:row>
    <x:row r="402" ht="38" customHeight="1">
      <x:c r="A402" s="7" t="str">
        <x:v>207659</x:v>
      </x:c>
      <x:c r="B402" s="12" t="str">
        <x:v>Fitness - Dance Fitness</x:v>
      </x:c>
      <x:c r="C402" s="12" t="str">
        <x:v>Woodstock Cmty Ctr</x:v>
      </x:c>
      <x:c r="D402" s="12" t="str">
        <x:v>Fitness</x:v>
      </x:c>
      <x:c r="E402" s="7" t="str">
        <x:v>future</x:v>
      </x:c>
      <x:c r="F402" s="7" t="str">
        <x:v>2026-09-28</x:v>
      </x:c>
      <x:c r="G402" s="7" t="str">
        <x:v>2026-10-26</x:v>
      </x:c>
      <x:c r="H402" s="7" t="n">
        <x:v>5</x:v>
      </x:c>
      <x:c r="I402" s="7"/>
      <x:c r="J402" s="7" t="n">
        <x:v>10</x:v>
      </x:c>
      <x:c r="K402" s="7" t="str">
        <x:v>unverified-denominator</x:v>
      </x:c>
      <x:c r="L402" s="7" t="d">
        <x:v>2026-09-16T05:12:38.111Z</x:v>
      </x:c>
      <x:c r="M402" s="7" t="str">
        <x:v>https://apm.activecommunities.com/portlandparks/Activity_Search/fitness---dance-fitness/207659?locale=en-US</x:v>
      </x:c>
    </x:row>
    <x:row r="403" ht="38" customHeight="1">
      <x:c r="A403" s="8" t="str">
        <x:v>207660</x:v>
      </x:c>
      <x:c r="B403" s="11" t="str">
        <x:v>Fitness - Dance Fitness</x:v>
      </x:c>
      <x:c r="C403" s="11" t="str">
        <x:v>Woodstock Cmty Ctr</x:v>
      </x:c>
      <x:c r="D403" s="11" t="str">
        <x:v>Fitness</x:v>
      </x:c>
      <x:c r="E403" s="8" t="str">
        <x:v>future</x:v>
      </x:c>
      <x:c r="F403" s="8" t="str">
        <x:v>2026-10-09</x:v>
      </x:c>
      <x:c r="G403" s="8" t="str">
        <x:v>2026-10-30</x:v>
      </x:c>
      <x:c r="H403" s="8" t="n">
        <x:v>0</x:v>
      </x:c>
      <x:c r="I403" s="8"/>
      <x:c r="J403" s="8" t="n">
        <x:v>10</x:v>
      </x:c>
      <x:c r="K403" s="8" t="str">
        <x:v>unverified-denominator</x:v>
      </x:c>
      <x:c r="L403" s="8" t="d">
        <x:v>2026-09-16T05:12:38.111Z</x:v>
      </x:c>
      <x:c r="M403" s="8" t="str">
        <x:v>https://apm.activecommunities.com/portlandparks/Activity_Search/fitness---dance-fitness/207660?locale=en-US</x:v>
      </x:c>
    </x:row>
    <x:row r="404" ht="38" customHeight="1">
      <x:c r="A404" s="7" t="str">
        <x:v>207896</x:v>
      </x:c>
      <x:c r="B404" s="12" t="str">
        <x:v>Fitness - Dance Fitness</x:v>
      </x:c>
      <x:c r="C404" s="12" t="str">
        <x:v>Woodstock Cmty Ctr</x:v>
      </x:c>
      <x:c r="D404" s="12" t="str">
        <x:v>Fitness</x:v>
      </x:c>
      <x:c r="E404" s="7" t="str">
        <x:v>future</x:v>
      </x:c>
      <x:c r="F404" s="7" t="str">
        <x:v>2026-11-02</x:v>
      </x:c>
      <x:c r="G404" s="7" t="str">
        <x:v>2026-12-07</x:v>
      </x:c>
      <x:c r="H404" s="7" t="n">
        <x:v>0</x:v>
      </x:c>
      <x:c r="I404" s="7"/>
      <x:c r="J404" s="7" t="n">
        <x:v>10</x:v>
      </x:c>
      <x:c r="K404" s="7" t="str">
        <x:v>unverified-denominator</x:v>
      </x:c>
      <x:c r="L404" s="7" t="d">
        <x:v>2026-09-16T05:12:38.111Z</x:v>
      </x:c>
      <x:c r="M404" s="7" t="str">
        <x:v>https://apm.activecommunities.com/portlandparks/Activity_Search/fitness---dance-fitness/207896?locale=en-US</x:v>
      </x:c>
    </x:row>
    <x:row r="405" ht="38" customHeight="1">
      <x:c r="A405" s="8" t="str">
        <x:v>207897</x:v>
      </x:c>
      <x:c r="B405" s="11" t="str">
        <x:v>Fitness - Dance Fitness</x:v>
      </x:c>
      <x:c r="C405" s="11" t="str">
        <x:v>Woodstock Cmty Ctr</x:v>
      </x:c>
      <x:c r="D405" s="11" t="str">
        <x:v>Fitness</x:v>
      </x:c>
      <x:c r="E405" s="8" t="str">
        <x:v>future</x:v>
      </x:c>
      <x:c r="F405" s="8" t="str">
        <x:v>2026-11-06</x:v>
      </x:c>
      <x:c r="G405" s="8" t="str">
        <x:v>2026-12-11</x:v>
      </x:c>
      <x:c r="H405" s="8" t="n">
        <x:v>0</x:v>
      </x:c>
      <x:c r="I405" s="8"/>
      <x:c r="J405" s="8" t="n">
        <x:v>10</x:v>
      </x:c>
      <x:c r="K405" s="8" t="str">
        <x:v>unverified-denominator</x:v>
      </x:c>
      <x:c r="L405" s="8" t="d">
        <x:v>2026-09-16T05:12:38.111Z</x:v>
      </x:c>
      <x:c r="M405" s="8" t="str">
        <x:v>https://apm.activecommunities.com/portlandparks/Activity_Search/fitness---dance-fitness/207897?locale=en-US</x:v>
      </x:c>
    </x:row>
    <x:row r="406" ht="38" customHeight="1">
      <x:c r="A406" s="7" t="str">
        <x:v>204681</x:v>
      </x:c>
      <x:c r="B406" s="12" t="str">
        <x:v>Fitness - Dance Fitness</x:v>
      </x:c>
      <x:c r="C406" s="12" t="str">
        <x:v>Woodstock Cmty Ctr</x:v>
      </x:c>
      <x:c r="D406" s="12" t="str">
        <x:v>Fitness</x:v>
      </x:c>
      <x:c r="E406" s="7" t="str">
        <x:v>active</x:v>
      </x:c>
      <x:c r="F406" s="7" t="str">
        <x:v>2026-08-31</x:v>
      </x:c>
      <x:c r="G406" s="7" t="str">
        <x:v>2026-09-21</x:v>
      </x:c>
      <x:c r="H406" s="7" t="n">
        <x:v>8</x:v>
      </x:c>
      <x:c r="I406" s="7"/>
      <x:c r="J406" s="7" t="n">
        <x:v>10</x:v>
      </x:c>
      <x:c r="K406" s="7" t="str">
        <x:v>unverified-denominator</x:v>
      </x:c>
      <x:c r="L406" s="7" t="d">
        <x:v>2026-09-16T05:12:38.111Z</x:v>
      </x:c>
      <x:c r="M406" s="7" t="str">
        <x:v>https://apm.activecommunities.com/portlandparks/Activity_Search/fitness---dance-fitness/204681?locale=en-US</x:v>
      </x:c>
    </x:row>
    <x:row r="407" ht="38" customHeight="1">
      <x:c r="A407" s="8" t="str">
        <x:v>204813</x:v>
      </x:c>
      <x:c r="B407" s="11" t="str">
        <x:v>Fitness - Dance Fitness</x:v>
      </x:c>
      <x:c r="C407" s="11" t="str">
        <x:v>Woodstock Cmty Ctr</x:v>
      </x:c>
      <x:c r="D407" s="11" t="str">
        <x:v>Fitness</x:v>
      </x:c>
      <x:c r="E407" s="8" t="str">
        <x:v>active</x:v>
      </x:c>
      <x:c r="F407" s="8" t="str">
        <x:v>2026-09-04</x:v>
      </x:c>
      <x:c r="G407" s="8" t="str">
        <x:v>2026-09-25</x:v>
      </x:c>
      <x:c r="H407" s="8" t="n">
        <x:v>6</x:v>
      </x:c>
      <x:c r="I407" s="8"/>
      <x:c r="J407" s="8" t="n">
        <x:v>10</x:v>
      </x:c>
      <x:c r="K407" s="8" t="str">
        <x:v>unverified-denominator</x:v>
      </x:c>
      <x:c r="L407" s="8" t="d">
        <x:v>2026-09-16T05:12:38.111Z</x:v>
      </x:c>
      <x:c r="M407" s="8" t="str">
        <x:v>https://apm.activecommunities.com/portlandparks/Activity_Search/fitness---dance-fitness/204813?locale=en-US</x:v>
      </x:c>
    </x:row>
    <x:row r="408" ht="38" customHeight="1">
      <x:c r="A408" s="7" t="str">
        <x:v>207898</x:v>
      </x:c>
      <x:c r="B408" s="12" t="str">
        <x:v>Fitness - Gentle Yoga</x:v>
      </x:c>
      <x:c r="C408" s="12" t="str">
        <x:v>Woodstock Cmty Ctr</x:v>
      </x:c>
      <x:c r="D408" s="12" t="str">
        <x:v>Fitness</x:v>
      </x:c>
      <x:c r="E408" s="7" t="str">
        <x:v>future</x:v>
      </x:c>
      <x:c r="F408" s="7" t="str">
        <x:v>2026-11-12</x:v>
      </x:c>
      <x:c r="G408" s="7" t="str">
        <x:v>2026-12-10</x:v>
      </x:c>
      <x:c r="H408" s="7" t="n">
        <x:v>0</x:v>
      </x:c>
      <x:c r="I408" s="7"/>
      <x:c r="J408" s="7" t="n">
        <x:v>10</x:v>
      </x:c>
      <x:c r="K408" s="7" t="str">
        <x:v>unverified-denominator</x:v>
      </x:c>
      <x:c r="L408" s="7" t="d">
        <x:v>2026-09-16T05:12:38.111Z</x:v>
      </x:c>
      <x:c r="M408" s="7" t="str">
        <x:v>https://apm.activecommunities.com/portlandparks/Activity_Search/fitness---gentle-yoga/207898?locale=en-US</x:v>
      </x:c>
    </x:row>
    <x:row r="409" ht="38" customHeight="1">
      <x:c r="A409" s="8" t="str">
        <x:v>207661</x:v>
      </x:c>
      <x:c r="B409" s="11" t="str">
        <x:v>Fitness - Gentle Yoga</x:v>
      </x:c>
      <x:c r="C409" s="11" t="str">
        <x:v>Woodstock Cmty Ctr</x:v>
      </x:c>
      <x:c r="D409" s="11" t="str">
        <x:v>Fitness</x:v>
      </x:c>
      <x:c r="E409" s="8" t="str">
        <x:v>future</x:v>
      </x:c>
      <x:c r="F409" s="8" t="str">
        <x:v>2026-10-15</x:v>
      </x:c>
      <x:c r="G409" s="8" t="str">
        <x:v>2026-10-29</x:v>
      </x:c>
      <x:c r="H409" s="8" t="n">
        <x:v>10</x:v>
      </x:c>
      <x:c r="I409" s="8" t="n">
        <x:v>1</x:v>
      </x:c>
      <x:c r="J409" s="8" t="n">
        <x:v>10</x:v>
      </x:c>
      <x:c r="K409" s="8" t="str">
        <x:v>unverified-denominator</x:v>
      </x:c>
      <x:c r="L409" s="8" t="d">
        <x:v>2026-09-16T05:12:38.111Z</x:v>
      </x:c>
      <x:c r="M409" s="8" t="str">
        <x:v>https://apm.activecommunities.com/portlandparks/Activity_Search/fitness---gentle-yoga/207661?locale=en-US</x:v>
      </x:c>
    </x:row>
    <x:row r="410" ht="38" customHeight="1">
      <x:c r="A410" s="7" t="str">
        <x:v>207288</x:v>
      </x:c>
      <x:c r="B410" s="12" t="str">
        <x:v>Fitness - Gentle Yoga</x:v>
      </x:c>
      <x:c r="C410" s="12" t="str">
        <x:v>Woodstock Cmty Ctr</x:v>
      </x:c>
      <x:c r="D410" s="12" t="str">
        <x:v>Fitness</x:v>
      </x:c>
      <x:c r="E410" s="7" t="str">
        <x:v>active</x:v>
      </x:c>
      <x:c r="F410" s="7" t="str">
        <x:v>2026-09-03</x:v>
      </x:c>
      <x:c r="G410" s="7" t="str">
        <x:v>2026-09-24</x:v>
      </x:c>
      <x:c r="H410" s="7" t="n">
        <x:v>10</x:v>
      </x:c>
      <x:c r="I410" s="7" t="n">
        <x:v>3</x:v>
      </x:c>
      <x:c r="J410" s="7" t="n">
        <x:v>10</x:v>
      </x:c>
      <x:c r="K410" s="7" t="str">
        <x:v>unverified-denominator</x:v>
      </x:c>
      <x:c r="L410" s="7" t="d">
        <x:v>2026-09-16T05:12:38.111Z</x:v>
      </x:c>
      <x:c r="M410" s="7" t="str">
        <x:v>https://apm.activecommunities.com/portlandparks/Activity_Search/fitness---gentle-yoga/207288?locale=en-US</x:v>
      </x:c>
    </x:row>
    <x:row r="411" ht="38" customHeight="1">
      <x:c r="A411" s="8" t="str">
        <x:v>208774</x:v>
      </x:c>
      <x:c r="B411" s="11" t="str">
        <x:v>Fitness - Gentle Yoga</x:v>
      </x:c>
      <x:c r="C411" s="11" t="str">
        <x:v>St Johns Cmty Ctr</x:v>
      </x:c>
      <x:c r="D411" s="11" t="str">
        <x:v>Fitness</x:v>
      </x:c>
      <x:c r="E411" s="8" t="str">
        <x:v>future</x:v>
      </x:c>
      <x:c r="F411" s="8" t="str">
        <x:v>2026-09-28</x:v>
      </x:c>
      <x:c r="G411" s="8" t="str">
        <x:v>2026-10-26</x:v>
      </x:c>
      <x:c r="H411" s="8" t="n">
        <x:v>5</x:v>
      </x:c>
      <x:c r="I411" s="8"/>
      <x:c r="J411" s="8" t="n">
        <x:v>10</x:v>
      </x:c>
      <x:c r="K411" s="8" t="str">
        <x:v>unverified-denominator</x:v>
      </x:c>
      <x:c r="L411" s="8" t="d">
        <x:v>2026-09-16T05:12:38.111Z</x:v>
      </x:c>
      <x:c r="M411" s="8" t="str">
        <x:v>https://apm.activecommunities.com/portlandparks/Activity_Search/fitness---gentle-yoga/208774?locale=en-US</x:v>
      </x:c>
    </x:row>
    <x:row r="412" ht="38" customHeight="1">
      <x:c r="A412" s="7" t="str">
        <x:v>208775</x:v>
      </x:c>
      <x:c r="B412" s="12" t="str">
        <x:v>Fitness - Gentle Yoga</x:v>
      </x:c>
      <x:c r="C412" s="12" t="str">
        <x:v>St Johns Cmty Ctr</x:v>
      </x:c>
      <x:c r="D412" s="12" t="str">
        <x:v>Fitness</x:v>
      </x:c>
      <x:c r="E412" s="7" t="str">
        <x:v>future</x:v>
      </x:c>
      <x:c r="F412" s="7" t="str">
        <x:v>2026-11-02</x:v>
      </x:c>
      <x:c r="G412" s="7" t="str">
        <x:v>2026-12-07</x:v>
      </x:c>
      <x:c r="H412" s="7" t="n">
        <x:v>0</x:v>
      </x:c>
      <x:c r="I412" s="7"/>
      <x:c r="J412" s="7" t="n">
        <x:v>10</x:v>
      </x:c>
      <x:c r="K412" s="7" t="str">
        <x:v>unverified-denominator</x:v>
      </x:c>
      <x:c r="L412" s="7" t="d">
        <x:v>2026-09-16T05:12:38.111Z</x:v>
      </x:c>
      <x:c r="M412" s="7" t="str">
        <x:v>https://apm.activecommunities.com/portlandparks/Activity_Search/fitness---gentle-yoga/208775?locale=en-US</x:v>
      </x:c>
    </x:row>
    <x:row r="413" ht="38" customHeight="1">
      <x:c r="A413" s="8" t="str">
        <x:v>207662</x:v>
      </x:c>
      <x:c r="B413" s="11" t="str">
        <x:v>Fitness - Hatha Yoga</x:v>
      </x:c>
      <x:c r="C413" s="11" t="str">
        <x:v>Woodstock Cmty Ctr</x:v>
      </x:c>
      <x:c r="D413" s="11" t="str">
        <x:v>Fitness</x:v>
      </x:c>
      <x:c r="E413" s="8" t="str">
        <x:v>future</x:v>
      </x:c>
      <x:c r="F413" s="8" t="str">
        <x:v>2026-10-01</x:v>
      </x:c>
      <x:c r="G413" s="8" t="str">
        <x:v>2026-10-29</x:v>
      </x:c>
      <x:c r="H413" s="8" t="n">
        <x:v>10</x:v>
      </x:c>
      <x:c r="I413" s="8"/>
      <x:c r="J413" s="8" t="n">
        <x:v>10</x:v>
      </x:c>
      <x:c r="K413" s="8" t="str">
        <x:v>unverified-denominator</x:v>
      </x:c>
      <x:c r="L413" s="8" t="d">
        <x:v>2026-09-16T05:12:38.111Z</x:v>
      </x:c>
      <x:c r="M413" s="8" t="str">
        <x:v>https://apm.activecommunities.com/portlandparks/Activity_Search/fitness---hatha-yoga/207662?locale=en-US</x:v>
      </x:c>
    </x:row>
    <x:row r="414" ht="38" customHeight="1">
      <x:c r="A414" s="7" t="str">
        <x:v>207899</x:v>
      </x:c>
      <x:c r="B414" s="12" t="str">
        <x:v>Fitness - Hatha Yoga</x:v>
      </x:c>
      <x:c r="C414" s="12" t="str">
        <x:v>Woodstock Cmty Ctr</x:v>
      </x:c>
      <x:c r="D414" s="12" t="str">
        <x:v>Fitness</x:v>
      </x:c>
      <x:c r="E414" s="7" t="str">
        <x:v>future</x:v>
      </x:c>
      <x:c r="F414" s="7" t="str">
        <x:v>2026-11-12</x:v>
      </x:c>
      <x:c r="G414" s="7" t="str">
        <x:v>2026-12-10</x:v>
      </x:c>
      <x:c r="H414" s="7" t="n">
        <x:v>0</x:v>
      </x:c>
      <x:c r="I414" s="7"/>
      <x:c r="J414" s="7" t="n">
        <x:v>10</x:v>
      </x:c>
      <x:c r="K414" s="7" t="str">
        <x:v>unverified-denominator</x:v>
      </x:c>
      <x:c r="L414" s="7" t="d">
        <x:v>2026-09-16T05:12:38.111Z</x:v>
      </x:c>
      <x:c r="M414" s="7" t="str">
        <x:v>https://apm.activecommunities.com/portlandparks/Activity_Search/fitness---hatha-yoga/207899?locale=en-US</x:v>
      </x:c>
    </x:row>
    <x:row r="415" ht="38" customHeight="1">
      <x:c r="A415" s="8" t="str">
        <x:v>204682</x:v>
      </x:c>
      <x:c r="B415" s="11" t="str">
        <x:v>Fitness - Hatha Yoga</x:v>
      </x:c>
      <x:c r="C415" s="11" t="str">
        <x:v>Woodstock Cmty Ctr</x:v>
      </x:c>
      <x:c r="D415" s="11" t="str">
        <x:v>Fitness</x:v>
      </x:c>
      <x:c r="E415" s="8" t="str">
        <x:v>active</x:v>
      </x:c>
      <x:c r="F415" s="8" t="str">
        <x:v>2026-09-03</x:v>
      </x:c>
      <x:c r="G415" s="8" t="str">
        <x:v>2026-09-24</x:v>
      </x:c>
      <x:c r="H415" s="8" t="n">
        <x:v>10</x:v>
      </x:c>
      <x:c r="I415" s="8" t="n">
        <x:v>1</x:v>
      </x:c>
      <x:c r="J415" s="8" t="n">
        <x:v>10</x:v>
      </x:c>
      <x:c r="K415" s="8" t="str">
        <x:v>unverified-denominator</x:v>
      </x:c>
      <x:c r="L415" s="8" t="d">
        <x:v>2026-09-16T05:12:38.111Z</x:v>
      </x:c>
      <x:c r="M415" s="8" t="str">
        <x:v>https://apm.activecommunities.com/portlandparks/Activity_Search/fitness---hatha-yoga/204682?locale=en-US</x:v>
      </x:c>
    </x:row>
    <x:row r="416" ht="38" customHeight="1">
      <x:c r="A416" s="7" t="str">
        <x:v>207900</x:v>
      </x:c>
      <x:c r="B416" s="12" t="str">
        <x:v>Fitness - Nia - Cardio Dance Workout</x:v>
      </x:c>
      <x:c r="C416" s="12" t="str">
        <x:v>Woodstock Cmty Ctr</x:v>
      </x:c>
      <x:c r="D416" s="12" t="str">
        <x:v>Fitness</x:v>
      </x:c>
      <x:c r="E416" s="7" t="str">
        <x:v>future</x:v>
      </x:c>
      <x:c r="F416" s="7" t="str">
        <x:v>2026-11-02</x:v>
      </x:c>
      <x:c r="G416" s="7" t="str">
        <x:v>2026-12-07</x:v>
      </x:c>
      <x:c r="H416" s="7" t="n">
        <x:v>0</x:v>
      </x:c>
      <x:c r="I416" s="7"/>
      <x:c r="J416" s="7" t="n">
        <x:v>10</x:v>
      </x:c>
      <x:c r="K416" s="7" t="str">
        <x:v>unverified-denominator</x:v>
      </x:c>
      <x:c r="L416" s="7" t="d">
        <x:v>2026-09-16T05:12:38.111Z</x:v>
      </x:c>
      <x:c r="M416" s="7" t="str">
        <x:v>https://apm.activecommunities.com/portlandparks/Activity_Search/fitness---nia---cardio-dance-workout/207900?locale=en-US</x:v>
      </x:c>
    </x:row>
    <x:row r="417" ht="38" customHeight="1">
      <x:c r="A417" s="8" t="str">
        <x:v>207663</x:v>
      </x:c>
      <x:c r="B417" s="11" t="str">
        <x:v>Fitness - Nia - Cardio Dance Workout</x:v>
      </x:c>
      <x:c r="C417" s="11" t="str">
        <x:v>Woodstock Cmty Ctr</x:v>
      </x:c>
      <x:c r="D417" s="11" t="str">
        <x:v>Fitness</x:v>
      </x:c>
      <x:c r="E417" s="8" t="str">
        <x:v>future</x:v>
      </x:c>
      <x:c r="F417" s="8" t="str">
        <x:v>2026-09-28</x:v>
      </x:c>
      <x:c r="G417" s="8" t="str">
        <x:v>2026-10-19</x:v>
      </x:c>
      <x:c r="H417" s="8" t="n">
        <x:v>3</x:v>
      </x:c>
      <x:c r="I417" s="8"/>
      <x:c r="J417" s="8" t="n">
        <x:v>10</x:v>
      </x:c>
      <x:c r="K417" s="8" t="str">
        <x:v>unverified-denominator</x:v>
      </x:c>
      <x:c r="L417" s="8" t="d">
        <x:v>2026-09-16T05:12:38.111Z</x:v>
      </x:c>
      <x:c r="M417" s="8" t="str">
        <x:v>https://apm.activecommunities.com/portlandparks/Activity_Search/fitness---nia---cardio-dance-workout/207663?locale=en-US</x:v>
      </x:c>
    </x:row>
    <x:row r="418" ht="38" customHeight="1">
      <x:c r="A418" s="7" t="str">
        <x:v>207287</x:v>
      </x:c>
      <x:c r="B418" s="12" t="str">
        <x:v>Fitness - Nia - Cardio Dance Workout</x:v>
      </x:c>
      <x:c r="C418" s="12" t="str">
        <x:v>Woodstock Cmty Ctr</x:v>
      </x:c>
      <x:c r="D418" s="12" t="str">
        <x:v>Fitness</x:v>
      </x:c>
      <x:c r="E418" s="7" t="str">
        <x:v>active</x:v>
      </x:c>
      <x:c r="F418" s="7" t="str">
        <x:v>2026-08-31</x:v>
      </x:c>
      <x:c r="G418" s="7" t="str">
        <x:v>2026-09-21</x:v>
      </x:c>
      <x:c r="H418" s="7" t="n">
        <x:v>10</x:v>
      </x:c>
      <x:c r="I418" s="7"/>
      <x:c r="J418" s="7" t="n">
        <x:v>10</x:v>
      </x:c>
      <x:c r="K418" s="7" t="str">
        <x:v>unverified-denominator</x:v>
      </x:c>
      <x:c r="L418" s="7" t="d">
        <x:v>2026-09-16T05:12:38.111Z</x:v>
      </x:c>
      <x:c r="M418" s="7" t="str">
        <x:v>https://apm.activecommunities.com/portlandparks/Activity_Search/fitness---nia---cardio-dance-workout/207287?locale=en-US</x:v>
      </x:c>
    </x:row>
    <x:row r="419" ht="38" customHeight="1">
      <x:c r="A419" s="8" t="str">
        <x:v>207664</x:v>
      </x:c>
      <x:c r="B419" s="11" t="str">
        <x:v>Fitness - Pilates</x:v>
      </x:c>
      <x:c r="C419" s="11" t="str">
        <x:v>Woodstock Cmty Ctr</x:v>
      </x:c>
      <x:c r="D419" s="11" t="str">
        <x:v>Fitness</x:v>
      </x:c>
      <x:c r="E419" s="8" t="str">
        <x:v>future</x:v>
      </x:c>
      <x:c r="F419" s="8" t="str">
        <x:v>2026-10-09</x:v>
      </x:c>
      <x:c r="G419" s="8" t="str">
        <x:v>2026-10-30</x:v>
      </x:c>
      <x:c r="H419" s="8" t="n">
        <x:v>10</x:v>
      </x:c>
      <x:c r="I419" s="8" t="n">
        <x:v>2</x:v>
      </x:c>
      <x:c r="J419" s="8" t="n">
        <x:v>10</x:v>
      </x:c>
      <x:c r="K419" s="8" t="str">
        <x:v>unverified-denominator</x:v>
      </x:c>
      <x:c r="L419" s="8" t="d">
        <x:v>2026-09-16T05:12:38.111Z</x:v>
      </x:c>
      <x:c r="M419" s="8" t="str">
        <x:v>https://apm.activecommunities.com/portlandparks/Activity_Search/fitness---pilates/207664?locale=en-US</x:v>
      </x:c>
    </x:row>
    <x:row r="420" ht="38" customHeight="1">
      <x:c r="A420" s="7" t="str">
        <x:v>207901</x:v>
      </x:c>
      <x:c r="B420" s="12" t="str">
        <x:v>Fitness - Pilates</x:v>
      </x:c>
      <x:c r="C420" s="12" t="str">
        <x:v>Woodstock Cmty Ctr</x:v>
      </x:c>
      <x:c r="D420" s="12" t="str">
        <x:v>Fitness</x:v>
      </x:c>
      <x:c r="E420" s="7" t="str">
        <x:v>future</x:v>
      </x:c>
      <x:c r="F420" s="7" t="str">
        <x:v>2026-11-06</x:v>
      </x:c>
      <x:c r="G420" s="7" t="str">
        <x:v>2026-12-11</x:v>
      </x:c>
      <x:c r="H420" s="7" t="n">
        <x:v>0</x:v>
      </x:c>
      <x:c r="I420" s="7"/>
      <x:c r="J420" s="7" t="n">
        <x:v>10</x:v>
      </x:c>
      <x:c r="K420" s="7" t="str">
        <x:v>unverified-denominator</x:v>
      </x:c>
      <x:c r="L420" s="7" t="d">
        <x:v>2026-09-16T05:12:38.111Z</x:v>
      </x:c>
      <x:c r="M420" s="7" t="str">
        <x:v>https://apm.activecommunities.com/portlandparks/Activity_Search/fitness---pilates/207901?locale=en-US</x:v>
      </x:c>
    </x:row>
    <x:row r="421" ht="38" customHeight="1">
      <x:c r="A421" s="8" t="str">
        <x:v>204683</x:v>
      </x:c>
      <x:c r="B421" s="11" t="str">
        <x:v>Fitness - Pilates</x:v>
      </x:c>
      <x:c r="C421" s="11" t="str">
        <x:v>Woodstock Cmty Ctr</x:v>
      </x:c>
      <x:c r="D421" s="11" t="str">
        <x:v>Fitness</x:v>
      </x:c>
      <x:c r="E421" s="8" t="str">
        <x:v>active</x:v>
      </x:c>
      <x:c r="F421" s="8" t="str">
        <x:v>2026-09-04</x:v>
      </x:c>
      <x:c r="G421" s="8" t="str">
        <x:v>2026-09-18</x:v>
      </x:c>
      <x:c r="H421" s="8" t="n">
        <x:v>10</x:v>
      </x:c>
      <x:c r="I421" s="8" t="n">
        <x:v>1</x:v>
      </x:c>
      <x:c r="J421" s="8" t="n">
        <x:v>10</x:v>
      </x:c>
      <x:c r="K421" s="8" t="str">
        <x:v>unverified-denominator</x:v>
      </x:c>
      <x:c r="L421" s="8" t="d">
        <x:v>2026-09-16T05:12:38.111Z</x:v>
      </x:c>
      <x:c r="M421" s="8" t="str">
        <x:v>https://apm.activecommunities.com/portlandparks/Activity_Search/fitness---pilates/204683?locale=en-US</x:v>
      </x:c>
    </x:row>
    <x:row r="422" ht="38" customHeight="1">
      <x:c r="A422" s="7" t="str">
        <x:v>199280</x:v>
      </x:c>
      <x:c r="B422" s="12" t="str">
        <x:v>Fitness - Qigong</x:v>
      </x:c>
      <x:c r="C422" s="12" t="str">
        <x:v>First Congregational Church</x:v>
      </x:c>
      <x:c r="D422" s="12" t="str">
        <x:v>Fitness</x:v>
      </x:c>
      <x:c r="E422" s="7" t="str">
        <x:v>active</x:v>
      </x:c>
      <x:c r="F422" s="7" t="str">
        <x:v>2026-06-23</x:v>
      </x:c>
      <x:c r="G422" s="7" t="str">
        <x:v>2026-09-22</x:v>
      </x:c>
      <x:c r="H422" s="7" t="n">
        <x:v>2</x:v>
      </x:c>
      <x:c r="I422" s="7"/>
      <x:c r="J422" s="7" t="n">
        <x:v>16</x:v>
      </x:c>
      <x:c r="K422" s="7" t="str">
        <x:v>unverified-denominator</x:v>
      </x:c>
      <x:c r="L422" s="7" t="d">
        <x:v>2026-09-16T05:12:38.111Z</x:v>
      </x:c>
      <x:c r="M422" s="7" t="str">
        <x:v>https://apm.activecommunities.com/portlandparks/Activity_Search/fitness---qigong/199280?locale=en-US</x:v>
      </x:c>
    </x:row>
    <x:row r="423" ht="38" customHeight="1">
      <x:c r="A423" s="8" t="str">
        <x:v>199283</x:v>
      </x:c>
      <x:c r="B423" s="11" t="str">
        <x:v>Fitness - Qigong</x:v>
      </x:c>
      <x:c r="C423" s="11" t="str">
        <x:v>First Congregational Church</x:v>
      </x:c>
      <x:c r="D423" s="11" t="str">
        <x:v>Fitness</x:v>
      </x:c>
      <x:c r="E423" s="8" t="str">
        <x:v>active</x:v>
      </x:c>
      <x:c r="F423" s="8" t="str">
        <x:v>2026-06-25</x:v>
      </x:c>
      <x:c r="G423" s="8" t="str">
        <x:v>2026-09-24</x:v>
      </x:c>
      <x:c r="H423" s="8" t="n">
        <x:v>7</x:v>
      </x:c>
      <x:c r="I423" s="8"/>
      <x:c r="J423" s="8" t="n">
        <x:v>16</x:v>
      </x:c>
      <x:c r="K423" s="8" t="str">
        <x:v>unverified-denominator</x:v>
      </x:c>
      <x:c r="L423" s="8" t="d">
        <x:v>2026-09-16T05:12:38.111Z</x:v>
      </x:c>
      <x:c r="M423" s="8" t="str">
        <x:v>https://apm.activecommunities.com/portlandparks/Activity_Search/fitness---qigong/199283?locale=en-US</x:v>
      </x:c>
    </x:row>
    <x:row r="424" ht="38" customHeight="1">
      <x:c r="A424" s="7" t="str">
        <x:v>207310</x:v>
      </x:c>
      <x:c r="B424" s="12" t="str">
        <x:v>Fitness - Qigong</x:v>
      </x:c>
      <x:c r="C424" s="12" t="str">
        <x:v>First Congregational Church</x:v>
      </x:c>
      <x:c r="D424" s="12" t="str">
        <x:v>Fitness</x:v>
      </x:c>
      <x:c r="E424" s="7" t="str">
        <x:v>future</x:v>
      </x:c>
      <x:c r="F424" s="7" t="str">
        <x:v>2026-09-29</x:v>
      </x:c>
      <x:c r="G424" s="7" t="str">
        <x:v>2026-12-01</x:v>
      </x:c>
      <x:c r="H424" s="7" t="n">
        <x:v>3</x:v>
      </x:c>
      <x:c r="I424" s="7"/>
      <x:c r="J424" s="7" t="n">
        <x:v>16</x:v>
      </x:c>
      <x:c r="K424" s="7" t="str">
        <x:v>unverified-denominator</x:v>
      </x:c>
      <x:c r="L424" s="7" t="d">
        <x:v>2026-09-16T05:12:38.111Z</x:v>
      </x:c>
      <x:c r="M424" s="7" t="str">
        <x:v>https://apm.activecommunities.com/portlandparks/Activity_Search/fitness---qigong/207310?locale=en-US</x:v>
      </x:c>
    </x:row>
    <x:row r="425" ht="38" customHeight="1">
      <x:c r="A425" s="8" t="str">
        <x:v>207311</x:v>
      </x:c>
      <x:c r="B425" s="11" t="str">
        <x:v>Fitness - Qigong</x:v>
      </x:c>
      <x:c r="C425" s="11" t="str">
        <x:v>First Congregational Church</x:v>
      </x:c>
      <x:c r="D425" s="11" t="str">
        <x:v>Fitness</x:v>
      </x:c>
      <x:c r="E425" s="8" t="str">
        <x:v>future</x:v>
      </x:c>
      <x:c r="F425" s="8" t="str">
        <x:v>2026-10-01</x:v>
      </x:c>
      <x:c r="G425" s="8" t="str">
        <x:v>2026-12-10</x:v>
      </x:c>
      <x:c r="H425" s="8" t="n">
        <x:v>4</x:v>
      </x:c>
      <x:c r="I425" s="8"/>
      <x:c r="J425" s="8" t="n">
        <x:v>16</x:v>
      </x:c>
      <x:c r="K425" s="8" t="str">
        <x:v>unverified-denominator</x:v>
      </x:c>
      <x:c r="L425" s="8" t="d">
        <x:v>2026-09-16T05:12:38.111Z</x:v>
      </x:c>
      <x:c r="M425" s="8" t="str">
        <x:v>https://apm.activecommunities.com/portlandparks/Activity_Search/fitness---qigong/207311?locale=en-US</x:v>
      </x:c>
    </x:row>
    <x:row r="426" ht="38" customHeight="1">
      <x:c r="A426" s="7" t="str">
        <x:v>207902</x:v>
      </x:c>
      <x:c r="B426" s="12" t="str">
        <x:v>Fitness - Qigong</x:v>
      </x:c>
      <x:c r="C426" s="12" t="str">
        <x:v>Woodstock Cmty Ctr</x:v>
      </x:c>
      <x:c r="D426" s="12" t="str">
        <x:v>Fitness</x:v>
      </x:c>
      <x:c r="E426" s="7" t="str">
        <x:v>future</x:v>
      </x:c>
      <x:c r="F426" s="7" t="str">
        <x:v>2026-11-03</x:v>
      </x:c>
      <x:c r="G426" s="7" t="str">
        <x:v>2026-12-01</x:v>
      </x:c>
      <x:c r="H426" s="7" t="n">
        <x:v>0</x:v>
      </x:c>
      <x:c r="I426" s="7"/>
      <x:c r="J426" s="7" t="n">
        <x:v>10</x:v>
      </x:c>
      <x:c r="K426" s="7" t="str">
        <x:v>unverified-denominator</x:v>
      </x:c>
      <x:c r="L426" s="7" t="d">
        <x:v>2026-09-16T05:12:38.111Z</x:v>
      </x:c>
      <x:c r="M426" s="7" t="str">
        <x:v>https://apm.activecommunities.com/portlandparks/Activity_Search/fitness---qigong/207902?locale=en-US</x:v>
      </x:c>
    </x:row>
    <x:row r="427" ht="38" customHeight="1">
      <x:c r="A427" s="8" t="str">
        <x:v>207665</x:v>
      </x:c>
      <x:c r="B427" s="11" t="str">
        <x:v>Fitness - Qigong</x:v>
      </x:c>
      <x:c r="C427" s="11" t="str">
        <x:v>Woodstock Cmty Ctr</x:v>
      </x:c>
      <x:c r="D427" s="11" t="str">
        <x:v>Fitness</x:v>
      </x:c>
      <x:c r="E427" s="8" t="str">
        <x:v>future</x:v>
      </x:c>
      <x:c r="F427" s="8" t="str">
        <x:v>2026-09-29</x:v>
      </x:c>
      <x:c r="G427" s="8" t="str">
        <x:v>2026-10-27</x:v>
      </x:c>
      <x:c r="H427" s="8" t="n">
        <x:v>10</x:v>
      </x:c>
      <x:c r="I427" s="8" t="n">
        <x:v>5</x:v>
      </x:c>
      <x:c r="J427" s="8" t="n">
        <x:v>10</x:v>
      </x:c>
      <x:c r="K427" s="8" t="str">
        <x:v>unverified-denominator</x:v>
      </x:c>
      <x:c r="L427" s="8" t="d">
        <x:v>2026-09-16T05:12:38.111Z</x:v>
      </x:c>
      <x:c r="M427" s="8" t="str">
        <x:v>https://apm.activecommunities.com/portlandparks/Activity_Search/fitness---qigong/207665?locale=en-US</x:v>
      </x:c>
    </x:row>
    <x:row r="428" ht="38" customHeight="1">
      <x:c r="A428" s="7" t="str">
        <x:v>204684</x:v>
      </x:c>
      <x:c r="B428" s="12" t="str">
        <x:v>Fitness - Qigong</x:v>
      </x:c>
      <x:c r="C428" s="12" t="str">
        <x:v>Woodstock Cmty Ctr</x:v>
      </x:c>
      <x:c r="D428" s="12" t="str">
        <x:v>Fitness</x:v>
      </x:c>
      <x:c r="E428" s="7" t="str">
        <x:v>active</x:v>
      </x:c>
      <x:c r="F428" s="7" t="str">
        <x:v>2026-09-01</x:v>
      </x:c>
      <x:c r="G428" s="7" t="str">
        <x:v>2026-09-22</x:v>
      </x:c>
      <x:c r="H428" s="7" t="n">
        <x:v>10</x:v>
      </x:c>
      <x:c r="I428" s="7"/>
      <x:c r="J428" s="7" t="n">
        <x:v>10</x:v>
      </x:c>
      <x:c r="K428" s="7" t="str">
        <x:v>unverified-denominator</x:v>
      </x:c>
      <x:c r="L428" s="7" t="d">
        <x:v>2026-09-16T05:12:38.111Z</x:v>
      </x:c>
      <x:c r="M428" s="7" t="str">
        <x:v>https://apm.activecommunities.com/portlandparks/Activity_Search/fitness---qigong/204684?locale=en-US</x:v>
      </x:c>
    </x:row>
    <x:row r="429" ht="38" customHeight="1">
      <x:c r="A429" s="8" t="str">
        <x:v>204685</x:v>
      </x:c>
      <x:c r="B429" s="11" t="str">
        <x:v>Fitness - Restorative Yoga</x:v>
      </x:c>
      <x:c r="C429" s="11" t="str">
        <x:v>Woodstock Cmty Ctr</x:v>
      </x:c>
      <x:c r="D429" s="11" t="str">
        <x:v>Fitness</x:v>
      </x:c>
      <x:c r="E429" s="8" t="str">
        <x:v>active</x:v>
      </x:c>
      <x:c r="F429" s="8" t="str">
        <x:v>2026-09-02</x:v>
      </x:c>
      <x:c r="G429" s="8" t="str">
        <x:v>2026-09-23</x:v>
      </x:c>
      <x:c r="H429" s="8" t="n">
        <x:v>10</x:v>
      </x:c>
      <x:c r="I429" s="8"/>
      <x:c r="J429" s="8" t="n">
        <x:v>10</x:v>
      </x:c>
      <x:c r="K429" s="8" t="str">
        <x:v>unverified-denominator</x:v>
      </x:c>
      <x:c r="L429" s="8" t="d">
        <x:v>2026-09-16T05:12:38.111Z</x:v>
      </x:c>
      <x:c r="M429" s="8" t="str">
        <x:v>https://apm.activecommunities.com/portlandparks/Activity_Search/fitness---restorative-yoga/204685?locale=en-US</x:v>
      </x:c>
    </x:row>
    <x:row r="430" ht="38" customHeight="1">
      <x:c r="A430" s="7" t="str">
        <x:v>207666</x:v>
      </x:c>
      <x:c r="B430" s="12" t="str">
        <x:v>Fitness - Restorative Yoga</x:v>
      </x:c>
      <x:c r="C430" s="12" t="str">
        <x:v>Woodstock Cmty Ctr</x:v>
      </x:c>
      <x:c r="D430" s="12" t="str">
        <x:v>Fitness</x:v>
      </x:c>
      <x:c r="E430" s="7" t="str">
        <x:v>future</x:v>
      </x:c>
      <x:c r="F430" s="7" t="str">
        <x:v>2026-09-30</x:v>
      </x:c>
      <x:c r="G430" s="7" t="str">
        <x:v>2026-10-28</x:v>
      </x:c>
      <x:c r="H430" s="7" t="n">
        <x:v>10</x:v>
      </x:c>
      <x:c r="I430" s="7"/>
      <x:c r="J430" s="7" t="n">
        <x:v>10</x:v>
      </x:c>
      <x:c r="K430" s="7" t="str">
        <x:v>unverified-denominator</x:v>
      </x:c>
      <x:c r="L430" s="7" t="d">
        <x:v>2026-09-16T05:12:38.111Z</x:v>
      </x:c>
      <x:c r="M430" s="7" t="str">
        <x:v>https://apm.activecommunities.com/portlandparks/Activity_Search/fitness---restorative-yoga/207666?locale=en-US</x:v>
      </x:c>
    </x:row>
    <x:row r="431" ht="38" customHeight="1">
      <x:c r="A431" s="8" t="str">
        <x:v>207903</x:v>
      </x:c>
      <x:c r="B431" s="11" t="str">
        <x:v>Fitness - Restorative Yoga</x:v>
      </x:c>
      <x:c r="C431" s="11" t="str">
        <x:v>Woodstock Cmty Ctr</x:v>
      </x:c>
      <x:c r="D431" s="11" t="str">
        <x:v>Fitness</x:v>
      </x:c>
      <x:c r="E431" s="8" t="str">
        <x:v>future</x:v>
      </x:c>
      <x:c r="F431" s="8" t="str">
        <x:v>2026-11-04</x:v>
      </x:c>
      <x:c r="G431" s="8" t="str">
        <x:v>2026-12-09</x:v>
      </x:c>
      <x:c r="H431" s="8" t="n">
        <x:v>0</x:v>
      </x:c>
      <x:c r="I431" s="8"/>
      <x:c r="J431" s="8" t="n">
        <x:v>10</x:v>
      </x:c>
      <x:c r="K431" s="8" t="str">
        <x:v>unverified-denominator</x:v>
      </x:c>
      <x:c r="L431" s="8" t="d">
        <x:v>2026-09-16T05:12:38.111Z</x:v>
      </x:c>
      <x:c r="M431" s="8" t="str">
        <x:v>https://apm.activecommunities.com/portlandparks/Activity_Search/fitness---restorative-yoga/207903?locale=en-US</x:v>
      </x:c>
    </x:row>
    <x:row r="432" ht="38" customHeight="1">
      <x:c r="A432" s="7" t="str">
        <x:v>207904</x:v>
      </x:c>
      <x:c r="B432" s="12" t="str">
        <x:v>Fitness - Somatic Healing Movement</x:v>
      </x:c>
      <x:c r="C432" s="12" t="str">
        <x:v>Woodstock Cmty Ctr</x:v>
      </x:c>
      <x:c r="D432" s="12" t="str">
        <x:v>Fitness</x:v>
      </x:c>
      <x:c r="E432" s="7" t="str">
        <x:v>future</x:v>
      </x:c>
      <x:c r="F432" s="7" t="str">
        <x:v>2026-11-02</x:v>
      </x:c>
      <x:c r="G432" s="7" t="str">
        <x:v>2026-12-07</x:v>
      </x:c>
      <x:c r="H432" s="7" t="n">
        <x:v>0</x:v>
      </x:c>
      <x:c r="I432" s="7"/>
      <x:c r="J432" s="7" t="n">
        <x:v>10</x:v>
      </x:c>
      <x:c r="K432" s="7" t="str">
        <x:v>unverified-denominator</x:v>
      </x:c>
      <x:c r="L432" s="7" t="d">
        <x:v>2026-09-16T05:12:38.111Z</x:v>
      </x:c>
      <x:c r="M432" s="7" t="str">
        <x:v>https://apm.activecommunities.com/portlandparks/Activity_Search/fitness---somatic-healing-movement/207904?locale=en-US</x:v>
      </x:c>
    </x:row>
    <x:row r="433" ht="38" customHeight="1">
      <x:c r="A433" s="8" t="str">
        <x:v>207905</x:v>
      </x:c>
      <x:c r="B433" s="11" t="str">
        <x:v>Fitness - Somatic Healing Movement</x:v>
      </x:c>
      <x:c r="C433" s="11" t="str">
        <x:v>Woodstock Cmty Ctr</x:v>
      </x:c>
      <x:c r="D433" s="11" t="str">
        <x:v>Fitness</x:v>
      </x:c>
      <x:c r="E433" s="8" t="str">
        <x:v>future</x:v>
      </x:c>
      <x:c r="F433" s="8" t="str">
        <x:v>2026-11-04</x:v>
      </x:c>
      <x:c r="G433" s="8" t="str">
        <x:v>2026-12-09</x:v>
      </x:c>
      <x:c r="H433" s="8" t="n">
        <x:v>0</x:v>
      </x:c>
      <x:c r="I433" s="8"/>
      <x:c r="J433" s="8" t="n">
        <x:v>10</x:v>
      </x:c>
      <x:c r="K433" s="8" t="str">
        <x:v>unverified-denominator</x:v>
      </x:c>
      <x:c r="L433" s="8" t="d">
        <x:v>2026-09-16T05:12:38.111Z</x:v>
      </x:c>
      <x:c r="M433" s="8" t="str">
        <x:v>https://apm.activecommunities.com/portlandparks/Activity_Search/fitness---somatic-healing-movement/207905?locale=en-US</x:v>
      </x:c>
    </x:row>
    <x:row r="434" ht="38" customHeight="1">
      <x:c r="A434" s="7" t="str">
        <x:v>207667</x:v>
      </x:c>
      <x:c r="B434" s="12" t="str">
        <x:v>Fitness - Somatic Healing Movement</x:v>
      </x:c>
      <x:c r="C434" s="12" t="str">
        <x:v>Woodstock Cmty Ctr</x:v>
      </x:c>
      <x:c r="D434" s="12" t="str">
        <x:v>Fitness</x:v>
      </x:c>
      <x:c r="E434" s="7" t="str">
        <x:v>future</x:v>
      </x:c>
      <x:c r="F434" s="7" t="str">
        <x:v>2026-09-28</x:v>
      </x:c>
      <x:c r="G434" s="7" t="str">
        <x:v>2026-10-26</x:v>
      </x:c>
      <x:c r="H434" s="7" t="n">
        <x:v>10</x:v>
      </x:c>
      <x:c r="I434" s="7"/>
      <x:c r="J434" s="7" t="n">
        <x:v>10</x:v>
      </x:c>
      <x:c r="K434" s="7" t="str">
        <x:v>unverified-denominator</x:v>
      </x:c>
      <x:c r="L434" s="7" t="d">
        <x:v>2026-09-16T05:12:38.111Z</x:v>
      </x:c>
      <x:c r="M434" s="7" t="str">
        <x:v>https://apm.activecommunities.com/portlandparks/Activity_Search/fitness---somatic-healing-movement/207667?locale=en-US</x:v>
      </x:c>
    </x:row>
    <x:row r="435" ht="38" customHeight="1">
      <x:c r="A435" s="8" t="str">
        <x:v>207668</x:v>
      </x:c>
      <x:c r="B435" s="11" t="str">
        <x:v>Fitness - Somatic Healing Movement</x:v>
      </x:c>
      <x:c r="C435" s="11" t="str">
        <x:v>Woodstock Cmty Ctr</x:v>
      </x:c>
      <x:c r="D435" s="11" t="str">
        <x:v>Fitness</x:v>
      </x:c>
      <x:c r="E435" s="8" t="str">
        <x:v>future</x:v>
      </x:c>
      <x:c r="F435" s="8" t="str">
        <x:v>2026-09-30</x:v>
      </x:c>
      <x:c r="G435" s="8" t="str">
        <x:v>2026-10-28</x:v>
      </x:c>
      <x:c r="H435" s="8" t="n">
        <x:v>7</x:v>
      </x:c>
      <x:c r="I435" s="8"/>
      <x:c r="J435" s="8" t="n">
        <x:v>10</x:v>
      </x:c>
      <x:c r="K435" s="8" t="str">
        <x:v>unverified-denominator</x:v>
      </x:c>
      <x:c r="L435" s="8" t="d">
        <x:v>2026-09-16T05:12:38.111Z</x:v>
      </x:c>
      <x:c r="M435" s="8" t="str">
        <x:v>https://apm.activecommunities.com/portlandparks/Activity_Search/fitness---somatic-healing-movement/207668?locale=en-US</x:v>
      </x:c>
    </x:row>
    <x:row r="436" ht="38" customHeight="1">
      <x:c r="A436" s="7" t="str">
        <x:v>204686</x:v>
      </x:c>
      <x:c r="B436" s="12" t="str">
        <x:v>Fitness - Somatic Healing Movement</x:v>
      </x:c>
      <x:c r="C436" s="12" t="str">
        <x:v>Woodstock Cmty Ctr</x:v>
      </x:c>
      <x:c r="D436" s="12" t="str">
        <x:v>Fitness</x:v>
      </x:c>
      <x:c r="E436" s="7" t="str">
        <x:v>active</x:v>
      </x:c>
      <x:c r="F436" s="7" t="str">
        <x:v>2026-08-31</x:v>
      </x:c>
      <x:c r="G436" s="7" t="str">
        <x:v>2026-09-21</x:v>
      </x:c>
      <x:c r="H436" s="7" t="n">
        <x:v>8</x:v>
      </x:c>
      <x:c r="I436" s="7"/>
      <x:c r="J436" s="7" t="n">
        <x:v>10</x:v>
      </x:c>
      <x:c r="K436" s="7" t="str">
        <x:v>unverified-denominator</x:v>
      </x:c>
      <x:c r="L436" s="7" t="d">
        <x:v>2026-09-16T05:12:38.111Z</x:v>
      </x:c>
      <x:c r="M436" s="7" t="str">
        <x:v>https://apm.activecommunities.com/portlandparks/Activity_Search/fitness---somatic-healing-movement/204686?locale=en-US</x:v>
      </x:c>
    </x:row>
    <x:row r="437" ht="38" customHeight="1">
      <x:c r="A437" s="8" t="str">
        <x:v>204825</x:v>
      </x:c>
      <x:c r="B437" s="11" t="str">
        <x:v>Fitness - Somatic Healing Movement</x:v>
      </x:c>
      <x:c r="C437" s="11" t="str">
        <x:v>Woodstock Cmty Ctr</x:v>
      </x:c>
      <x:c r="D437" s="11" t="str">
        <x:v>Fitness</x:v>
      </x:c>
      <x:c r="E437" s="8" t="str">
        <x:v>active</x:v>
      </x:c>
      <x:c r="F437" s="8" t="str">
        <x:v>2026-09-02</x:v>
      </x:c>
      <x:c r="G437" s="8" t="str">
        <x:v>2026-09-23</x:v>
      </x:c>
      <x:c r="H437" s="8" t="n">
        <x:v>10</x:v>
      </x:c>
      <x:c r="I437" s="8"/>
      <x:c r="J437" s="8" t="n">
        <x:v>10</x:v>
      </x:c>
      <x:c r="K437" s="8" t="str">
        <x:v>unverified-denominator</x:v>
      </x:c>
      <x:c r="L437" s="8" t="d">
        <x:v>2026-09-16T05:12:38.111Z</x:v>
      </x:c>
      <x:c r="M437" s="8" t="str">
        <x:v>https://apm.activecommunities.com/portlandparks/Activity_Search/fitness---somatic-healing-movement/204825?locale=en-US</x:v>
      </x:c>
    </x:row>
    <x:row r="438" ht="38" customHeight="1">
      <x:c r="A438" s="7" t="str">
        <x:v>204687</x:v>
      </x:c>
      <x:c r="B438" s="12" t="str">
        <x:v>Fitness - Tai Chi - Yang Style All Levels</x:v>
      </x:c>
      <x:c r="C438" s="12" t="str">
        <x:v>Woodstock Cmty Ctr</x:v>
      </x:c>
      <x:c r="D438" s="12" t="str">
        <x:v>Fitness</x:v>
      </x:c>
      <x:c r="E438" s="7" t="str">
        <x:v>active</x:v>
      </x:c>
      <x:c r="F438" s="7" t="str">
        <x:v>2026-09-01</x:v>
      </x:c>
      <x:c r="G438" s="7" t="str">
        <x:v>2026-09-22</x:v>
      </x:c>
      <x:c r="H438" s="7" t="n">
        <x:v>10</x:v>
      </x:c>
      <x:c r="I438" s="7" t="n">
        <x:v>4</x:v>
      </x:c>
      <x:c r="J438" s="7" t="n">
        <x:v>10</x:v>
      </x:c>
      <x:c r="K438" s="7" t="str">
        <x:v>unverified-denominator</x:v>
      </x:c>
      <x:c r="L438" s="7" t="d">
        <x:v>2026-09-16T05:12:38.111Z</x:v>
      </x:c>
      <x:c r="M438" s="7" t="str">
        <x:v>https://apm.activecommunities.com/portlandparks/Activity_Search/fitness---tai-chi---yang-style-all-levels/204687?locale=en-US</x:v>
      </x:c>
    </x:row>
    <x:row r="439" ht="38" customHeight="1">
      <x:c r="A439" s="8" t="str">
        <x:v>207669</x:v>
      </x:c>
      <x:c r="B439" s="11" t="str">
        <x:v>Fitness - Tai Chi - Yang Style All Levels</x:v>
      </x:c>
      <x:c r="C439" s="11" t="str">
        <x:v>Woodstock Cmty Ctr</x:v>
      </x:c>
      <x:c r="D439" s="11" t="str">
        <x:v>Fitness</x:v>
      </x:c>
      <x:c r="E439" s="8" t="str">
        <x:v>future</x:v>
      </x:c>
      <x:c r="F439" s="8" t="str">
        <x:v>2026-09-29</x:v>
      </x:c>
      <x:c r="G439" s="8" t="str">
        <x:v>2026-10-27</x:v>
      </x:c>
      <x:c r="H439" s="8" t="n">
        <x:v>10</x:v>
      </x:c>
      <x:c r="I439" s="8" t="n">
        <x:v>10</x:v>
      </x:c>
      <x:c r="J439" s="8" t="n">
        <x:v>10</x:v>
      </x:c>
      <x:c r="K439" s="8" t="str">
        <x:v>unverified-denominator</x:v>
      </x:c>
      <x:c r="L439" s="8" t="d">
        <x:v>2026-09-16T05:12:38.111Z</x:v>
      </x:c>
      <x:c r="M439" s="8" t="str">
        <x:v>https://apm.activecommunities.com/portlandparks/Activity_Search/fitness---tai-chi---yang-style-all-levels/207669?locale=en-US</x:v>
      </x:c>
    </x:row>
    <x:row r="440" ht="38" customHeight="1">
      <x:c r="A440" s="7" t="str">
        <x:v>207906</x:v>
      </x:c>
      <x:c r="B440" s="12" t="str">
        <x:v>Fitness - Tai Chi - Yang Style All Levels</x:v>
      </x:c>
      <x:c r="C440" s="12" t="str">
        <x:v>Woodstock Cmty Ctr</x:v>
      </x:c>
      <x:c r="D440" s="12" t="str">
        <x:v>Fitness</x:v>
      </x:c>
      <x:c r="E440" s="7" t="str">
        <x:v>future</x:v>
      </x:c>
      <x:c r="F440" s="7" t="str">
        <x:v>2026-11-03</x:v>
      </x:c>
      <x:c r="G440" s="7" t="str">
        <x:v>2026-12-01</x:v>
      </x:c>
      <x:c r="H440" s="7" t="n">
        <x:v>0</x:v>
      </x:c>
      <x:c r="I440" s="7"/>
      <x:c r="J440" s="7" t="n">
        <x:v>10</x:v>
      </x:c>
      <x:c r="K440" s="7" t="str">
        <x:v>unverified-denominator</x:v>
      </x:c>
      <x:c r="L440" s="7" t="d">
        <x:v>2026-09-16T05:12:38.111Z</x:v>
      </x:c>
      <x:c r="M440" s="7" t="str">
        <x:v>https://apm.activecommunities.com/portlandparks/Activity_Search/fitness---tai-chi---yang-style-all-levels/207906?locale=en-US</x:v>
      </x:c>
    </x:row>
    <x:row r="441" ht="38" customHeight="1">
      <x:c r="A441" s="8" t="str">
        <x:v>200627</x:v>
      </x:c>
      <x:c r="B441" s="11" t="str">
        <x:v>Fitness - Tai Chi Today: Advanced</x:v>
      </x:c>
      <x:c r="C441" s="11" t="str">
        <x:v>St Johns Cmty Ctr</x:v>
      </x:c>
      <x:c r="D441" s="11" t="str">
        <x:v>Fitness</x:v>
      </x:c>
      <x:c r="E441" s="8" t="str">
        <x:v>active</x:v>
      </x:c>
      <x:c r="F441" s="8" t="str">
        <x:v>2026-09-02</x:v>
      </x:c>
      <x:c r="G441" s="8" t="str">
        <x:v>2026-09-30</x:v>
      </x:c>
      <x:c r="H441" s="8" t="n">
        <x:v>4</x:v>
      </x:c>
      <x:c r="I441" s="8"/>
      <x:c r="J441" s="8" t="n">
        <x:v>15</x:v>
      </x:c>
      <x:c r="K441" s="8" t="str">
        <x:v>unverified-denominator</x:v>
      </x:c>
      <x:c r="L441" s="8" t="d">
        <x:v>2026-09-16T05:12:38.111Z</x:v>
      </x:c>
      <x:c r="M441" s="8" t="str">
        <x:v>https://apm.activecommunities.com/portlandparks/Activity_Search/fitness---tai-chi-today-advanced/200627?locale=en-US</x:v>
      </x:c>
    </x:row>
    <x:row r="442" ht="38" customHeight="1">
      <x:c r="A442" s="7" t="str">
        <x:v>208339</x:v>
      </x:c>
      <x:c r="B442" s="12" t="str">
        <x:v>Fitness - Tai Chi Today: Advanced</x:v>
      </x:c>
      <x:c r="C442" s="12" t="str">
        <x:v>St Johns Cmty Ctr</x:v>
      </x:c>
      <x:c r="D442" s="12" t="str">
        <x:v>Fitness</x:v>
      </x:c>
      <x:c r="E442" s="7" t="str">
        <x:v>future</x:v>
      </x:c>
      <x:c r="F442" s="7" t="str">
        <x:v>2026-10-07</x:v>
      </x:c>
      <x:c r="G442" s="7" t="str">
        <x:v>2026-10-28</x:v>
      </x:c>
      <x:c r="H442" s="7" t="n">
        <x:v>0</x:v>
      </x:c>
      <x:c r="I442" s="7"/>
      <x:c r="J442" s="7" t="n">
        <x:v>15</x:v>
      </x:c>
      <x:c r="K442" s="7" t="str">
        <x:v>unverified-denominator</x:v>
      </x:c>
      <x:c r="L442" s="7" t="d">
        <x:v>2026-09-16T05:12:38.111Z</x:v>
      </x:c>
      <x:c r="M442" s="7" t="str">
        <x:v>https://apm.activecommunities.com/portlandparks/Activity_Search/fitness---tai-chi-today-advanced/208339?locale=en-US</x:v>
      </x:c>
    </x:row>
    <x:row r="443" ht="38" customHeight="1">
      <x:c r="A443" s="8" t="str">
        <x:v>208340</x:v>
      </x:c>
      <x:c r="B443" s="11" t="str">
        <x:v>Fitness - Tai Chi Today: Advanced</x:v>
      </x:c>
      <x:c r="C443" s="11" t="str">
        <x:v>St Johns Cmty Ctr</x:v>
      </x:c>
      <x:c r="D443" s="11" t="str">
        <x:v>Fitness</x:v>
      </x:c>
      <x:c r="E443" s="8" t="str">
        <x:v>future</x:v>
      </x:c>
      <x:c r="F443" s="8" t="str">
        <x:v>2026-11-04</x:v>
      </x:c>
      <x:c r="G443" s="8" t="str">
        <x:v>2026-11-25</x:v>
      </x:c>
      <x:c r="H443" s="8" t="n">
        <x:v>0</x:v>
      </x:c>
      <x:c r="I443" s="8"/>
      <x:c r="J443" s="8" t="n">
        <x:v>15</x:v>
      </x:c>
      <x:c r="K443" s="8" t="str">
        <x:v>unverified-denominator</x:v>
      </x:c>
      <x:c r="L443" s="8" t="d">
        <x:v>2026-09-16T05:12:38.111Z</x:v>
      </x:c>
      <x:c r="M443" s="8" t="str">
        <x:v>https://apm.activecommunities.com/portlandparks/Activity_Search/fitness---tai-chi-today-advanced/208340?locale=en-US</x:v>
      </x:c>
    </x:row>
    <x:row r="444" ht="38" customHeight="1">
      <x:c r="A444" s="7" t="str">
        <x:v>208341</x:v>
      </x:c>
      <x:c r="B444" s="12" t="str">
        <x:v>Fitness - Tai Chi Today: Advanced</x:v>
      </x:c>
      <x:c r="C444" s="12" t="str">
        <x:v>St Johns Cmty Ctr</x:v>
      </x:c>
      <x:c r="D444" s="12" t="str">
        <x:v>Fitness</x:v>
      </x:c>
      <x:c r="E444" s="7" t="str">
        <x:v>future</x:v>
      </x:c>
      <x:c r="F444" s="7" t="str">
        <x:v>2026-12-02</x:v>
      </x:c>
      <x:c r="G444" s="7" t="str">
        <x:v>2026-12-30</x:v>
      </x:c>
      <x:c r="H444" s="7" t="n">
        <x:v>0</x:v>
      </x:c>
      <x:c r="I444" s="7"/>
      <x:c r="J444" s="7" t="n">
        <x:v>15</x:v>
      </x:c>
      <x:c r="K444" s="7" t="str">
        <x:v>unverified-denominator</x:v>
      </x:c>
      <x:c r="L444" s="7" t="d">
        <x:v>2026-09-16T05:12:38.111Z</x:v>
      </x:c>
      <x:c r="M444" s="7" t="str">
        <x:v>https://apm.activecommunities.com/portlandparks/Activity_Search/fitness---tai-chi-today-advanced/208341?locale=en-US</x:v>
      </x:c>
    </x:row>
    <x:row r="445" ht="38" customHeight="1">
      <x:c r="A445" s="8" t="str">
        <x:v>208342</x:v>
      </x:c>
      <x:c r="B445" s="11" t="str">
        <x:v>Fitness - Tai Chi Today: Beginner</x:v>
      </x:c>
      <x:c r="C445" s="11" t="str">
        <x:v>St Johns Cmty Ctr</x:v>
      </x:c>
      <x:c r="D445" s="11" t="str">
        <x:v>Fitness</x:v>
      </x:c>
      <x:c r="E445" s="8" t="str">
        <x:v>future</x:v>
      </x:c>
      <x:c r="F445" s="8" t="str">
        <x:v>2026-10-01</x:v>
      </x:c>
      <x:c r="G445" s="8" t="str">
        <x:v>2026-10-29</x:v>
      </x:c>
      <x:c r="H445" s="8" t="n">
        <x:v>1</x:v>
      </x:c>
      <x:c r="I445" s="8"/>
      <x:c r="J445" s="8" t="n">
        <x:v>15</x:v>
      </x:c>
      <x:c r="K445" s="8" t="str">
        <x:v>unverified-denominator</x:v>
      </x:c>
      <x:c r="L445" s="8" t="d">
        <x:v>2026-09-16T05:12:38.111Z</x:v>
      </x:c>
      <x:c r="M445" s="8" t="str">
        <x:v>https://apm.activecommunities.com/portlandparks/Activity_Search/fitness---tai-chi-today-beginner/208342?locale=en-US</x:v>
      </x:c>
    </x:row>
    <x:row r="446" ht="38" customHeight="1">
      <x:c r="A446" s="7" t="str">
        <x:v>208344</x:v>
      </x:c>
      <x:c r="B446" s="12" t="str">
        <x:v>Fitness - Tai Chi Today: Beginner</x:v>
      </x:c>
      <x:c r="C446" s="12" t="str">
        <x:v>St Johns Cmty Ctr</x:v>
      </x:c>
      <x:c r="D446" s="12" t="str">
        <x:v>Fitness</x:v>
      </x:c>
      <x:c r="E446" s="7" t="str">
        <x:v>future</x:v>
      </x:c>
      <x:c r="F446" s="7" t="str">
        <x:v>2026-11-12</x:v>
      </x:c>
      <x:c r="G446" s="7" t="str">
        <x:v>2026-11-19</x:v>
      </x:c>
      <x:c r="H446" s="7" t="n">
        <x:v>0</x:v>
      </x:c>
      <x:c r="I446" s="7"/>
      <x:c r="J446" s="7" t="n">
        <x:v>15</x:v>
      </x:c>
      <x:c r="K446" s="7" t="str">
        <x:v>unverified-denominator</x:v>
      </x:c>
      <x:c r="L446" s="7" t="d">
        <x:v>2026-09-16T05:12:38.111Z</x:v>
      </x:c>
      <x:c r="M446" s="7" t="str">
        <x:v>https://apm.activecommunities.com/portlandparks/Activity_Search/fitness---tai-chi-today-beginner/208344?locale=en-US</x:v>
      </x:c>
    </x:row>
    <x:row r="447" ht="38" customHeight="1">
      <x:c r="A447" s="8" t="str">
        <x:v>207849</x:v>
      </x:c>
      <x:c r="B447" s="11" t="str">
        <x:v>Fitness - Tai Chi Today: Beginner</x:v>
      </x:c>
      <x:c r="C447" s="11" t="str">
        <x:v>St Johns Cmty Ctr</x:v>
      </x:c>
      <x:c r="D447" s="11" t="str">
        <x:v>Fitness</x:v>
      </x:c>
      <x:c r="E447" s="8" t="str">
        <x:v>future</x:v>
      </x:c>
      <x:c r="F447" s="8" t="str">
        <x:v>2026-10-05</x:v>
      </x:c>
      <x:c r="G447" s="8" t="str">
        <x:v>2026-10-26</x:v>
      </x:c>
      <x:c r="H447" s="8" t="n">
        <x:v>0</x:v>
      </x:c>
      <x:c r="I447" s="8"/>
      <x:c r="J447" s="8" t="n">
        <x:v>15</x:v>
      </x:c>
      <x:c r="K447" s="8" t="str">
        <x:v>unverified-denominator</x:v>
      </x:c>
      <x:c r="L447" s="8" t="d">
        <x:v>2026-09-16T05:12:38.111Z</x:v>
      </x:c>
      <x:c r="M447" s="8" t="str">
        <x:v>https://apm.activecommunities.com/portlandparks/Activity_Search/fitness---tai-chi-today-beginner/207849?locale=en-US</x:v>
      </x:c>
    </x:row>
    <x:row r="448" ht="38" customHeight="1">
      <x:c r="A448" s="7" t="str">
        <x:v>207850</x:v>
      </x:c>
      <x:c r="B448" s="12" t="str">
        <x:v>Fitness - Tai Chi Today: Beginner</x:v>
      </x:c>
      <x:c r="C448" s="12" t="str">
        <x:v>St Johns Cmty Ctr</x:v>
      </x:c>
      <x:c r="D448" s="12" t="str">
        <x:v>Fitness</x:v>
      </x:c>
      <x:c r="E448" s="7" t="str">
        <x:v>future</x:v>
      </x:c>
      <x:c r="F448" s="7" t="str">
        <x:v>2026-11-02</x:v>
      </x:c>
      <x:c r="G448" s="7" t="str">
        <x:v>2026-11-30</x:v>
      </x:c>
      <x:c r="H448" s="7" t="n">
        <x:v>0</x:v>
      </x:c>
      <x:c r="I448" s="7"/>
      <x:c r="J448" s="7" t="n">
        <x:v>15</x:v>
      </x:c>
      <x:c r="K448" s="7" t="str">
        <x:v>unverified-denominator</x:v>
      </x:c>
      <x:c r="L448" s="7" t="d">
        <x:v>2026-09-16T05:12:38.111Z</x:v>
      </x:c>
      <x:c r="M448" s="7" t="str">
        <x:v>https://apm.activecommunities.com/portlandparks/Activity_Search/fitness---tai-chi-today-beginner/207850?locale=en-US</x:v>
      </x:c>
    </x:row>
    <x:row r="449" ht="38" customHeight="1">
      <x:c r="A449" s="8" t="str">
        <x:v>207851</x:v>
      </x:c>
      <x:c r="B449" s="11" t="str">
        <x:v>Fitness - Tai Chi Today: Beginner</x:v>
      </x:c>
      <x:c r="C449" s="11" t="str">
        <x:v>St Johns Cmty Ctr</x:v>
      </x:c>
      <x:c r="D449" s="11" t="str">
        <x:v>Fitness</x:v>
      </x:c>
      <x:c r="E449" s="8" t="str">
        <x:v>future</x:v>
      </x:c>
      <x:c r="F449" s="8" t="str">
        <x:v>2026-12-07</x:v>
      </x:c>
      <x:c r="G449" s="8" t="str">
        <x:v>2026-12-28</x:v>
      </x:c>
      <x:c r="H449" s="8" t="n">
        <x:v>0</x:v>
      </x:c>
      <x:c r="I449" s="8"/>
      <x:c r="J449" s="8" t="n">
        <x:v>15</x:v>
      </x:c>
      <x:c r="K449" s="8" t="str">
        <x:v>unverified-denominator</x:v>
      </x:c>
      <x:c r="L449" s="8" t="d">
        <x:v>2026-09-16T05:12:38.111Z</x:v>
      </x:c>
      <x:c r="M449" s="8" t="str">
        <x:v>https://apm.activecommunities.com/portlandparks/Activity_Search/fitness---tai-chi-today-beginner/207851?locale=en-US</x:v>
      </x:c>
    </x:row>
    <x:row r="450" ht="38" customHeight="1">
      <x:c r="A450" s="7" t="str">
        <x:v>208906</x:v>
      </x:c>
      <x:c r="B450" s="12" t="str">
        <x:v>Fitness - Tai Chi Today: Beginner</x:v>
      </x:c>
      <x:c r="C450" s="12" t="str">
        <x:v>St Johns Cmty Ctr</x:v>
      </x:c>
      <x:c r="D450" s="12" t="str">
        <x:v>Fitness</x:v>
      </x:c>
      <x:c r="E450" s="7" t="str">
        <x:v>future</x:v>
      </x:c>
      <x:c r="F450" s="7" t="str">
        <x:v>2026-12-03</x:v>
      </x:c>
      <x:c r="G450" s="7" t="str">
        <x:v>2026-12-17</x:v>
      </x:c>
      <x:c r="H450" s="7" t="n">
        <x:v>0</x:v>
      </x:c>
      <x:c r="I450" s="7"/>
      <x:c r="J450" s="7" t="n">
        <x:v>15</x:v>
      </x:c>
      <x:c r="K450" s="7" t="str">
        <x:v>unverified-denominator</x:v>
      </x:c>
      <x:c r="L450" s="7" t="d">
        <x:v>2026-09-16T05:12:38.111Z</x:v>
      </x:c>
      <x:c r="M450" s="7" t="str">
        <x:v>https://apm.activecommunities.com/portlandparks/Activity_Search/fitness---tai-chi-today-beginner/208906?locale=en-US</x:v>
      </x:c>
    </x:row>
    <x:row r="451" ht="38" customHeight="1">
      <x:c r="A451" s="8" t="str">
        <x:v>200361</x:v>
      </x:c>
      <x:c r="B451" s="11" t="str">
        <x:v>Fitness - Tai Chi Today: Beginner</x:v>
      </x:c>
      <x:c r="C451" s="11" t="str">
        <x:v>St Johns Cmty Ctr</x:v>
      </x:c>
      <x:c r="D451" s="11" t="str">
        <x:v>Fitness</x:v>
      </x:c>
      <x:c r="E451" s="8" t="str">
        <x:v>active</x:v>
      </x:c>
      <x:c r="F451" s="8" t="str">
        <x:v>2026-09-14</x:v>
      </x:c>
      <x:c r="G451" s="8" t="str">
        <x:v>2026-09-28</x:v>
      </x:c>
      <x:c r="H451" s="8" t="n">
        <x:v>7</x:v>
      </x:c>
      <x:c r="I451" s="8"/>
      <x:c r="J451" s="8" t="n">
        <x:v>15</x:v>
      </x:c>
      <x:c r="K451" s="8" t="str">
        <x:v>unverified-denominator</x:v>
      </x:c>
      <x:c r="L451" s="8" t="d">
        <x:v>2026-09-16T05:12:38.111Z</x:v>
      </x:c>
      <x:c r="M451" s="8" t="str">
        <x:v>https://apm.activecommunities.com/portlandparks/Activity_Search/fitness---tai-chi-today-beginner/200361?locale=en-US</x:v>
      </x:c>
    </x:row>
    <x:row r="452" ht="38" customHeight="1">
      <x:c r="A452" s="7" t="str">
        <x:v>200369</x:v>
      </x:c>
      <x:c r="B452" s="12" t="str">
        <x:v>Fitness - Tai Chi Today: Beginner</x:v>
      </x:c>
      <x:c r="C452" s="12" t="str">
        <x:v>St Johns Cmty Ctr</x:v>
      </x:c>
      <x:c r="D452" s="12" t="str">
        <x:v>Fitness</x:v>
      </x:c>
      <x:c r="E452" s="7" t="str">
        <x:v>active</x:v>
      </x:c>
      <x:c r="F452" s="7" t="str">
        <x:v>2026-09-03</x:v>
      </x:c>
      <x:c r="G452" s="7" t="str">
        <x:v>2026-09-24</x:v>
      </x:c>
      <x:c r="H452" s="7" t="n">
        <x:v>4</x:v>
      </x:c>
      <x:c r="I452" s="7"/>
      <x:c r="J452" s="7" t="n">
        <x:v>15</x:v>
      </x:c>
      <x:c r="K452" s="7" t="str">
        <x:v>unverified-denominator</x:v>
      </x:c>
      <x:c r="L452" s="7" t="d">
        <x:v>2026-09-16T05:12:38.111Z</x:v>
      </x:c>
      <x:c r="M452" s="7" t="str">
        <x:v>https://apm.activecommunities.com/portlandparks/Activity_Search/fitness---tai-chi-today-beginner/200369?locale=en-US</x:v>
      </x:c>
    </x:row>
    <x:row r="453" ht="38" customHeight="1">
      <x:c r="A453" s="8" t="str">
        <x:v>200624</x:v>
      </x:c>
      <x:c r="B453" s="11" t="str">
        <x:v>Fitness - Tai Chi Today: Intermediate</x:v>
      </x:c>
      <x:c r="C453" s="11" t="str">
        <x:v>St Johns Cmty Ctr</x:v>
      </x:c>
      <x:c r="D453" s="11" t="str">
        <x:v>Fitness</x:v>
      </x:c>
      <x:c r="E453" s="8" t="str">
        <x:v>active</x:v>
      </x:c>
      <x:c r="F453" s="8" t="str">
        <x:v>2026-09-01</x:v>
      </x:c>
      <x:c r="G453" s="8" t="str">
        <x:v>2026-09-29</x:v>
      </x:c>
      <x:c r="H453" s="8" t="n">
        <x:v>5</x:v>
      </x:c>
      <x:c r="I453" s="8"/>
      <x:c r="J453" s="8" t="n">
        <x:v>15</x:v>
      </x:c>
      <x:c r="K453" s="8" t="str">
        <x:v>unverified-denominator</x:v>
      </x:c>
      <x:c r="L453" s="8" t="d">
        <x:v>2026-09-16T05:12:38.111Z</x:v>
      </x:c>
      <x:c r="M453" s="8" t="str">
        <x:v>https://apm.activecommunities.com/portlandparks/Activity_Search/fitness---tai-chi-today-intermediate/200624?locale=en-US</x:v>
      </x:c>
    </x:row>
    <x:row r="454" ht="38" customHeight="1">
      <x:c r="A454" s="7" t="str">
        <x:v>208336</x:v>
      </x:c>
      <x:c r="B454" s="12" t="str">
        <x:v>Fitness - Tai Chi Today: Intermediate</x:v>
      </x:c>
      <x:c r="C454" s="12" t="str">
        <x:v>St Johns Cmty Ctr</x:v>
      </x:c>
      <x:c r="D454" s="12" t="str">
        <x:v>Fitness</x:v>
      </x:c>
      <x:c r="E454" s="7" t="str">
        <x:v>future</x:v>
      </x:c>
      <x:c r="F454" s="7" t="str">
        <x:v>2026-10-06</x:v>
      </x:c>
      <x:c r="G454" s="7" t="str">
        <x:v>2026-10-27</x:v>
      </x:c>
      <x:c r="H454" s="7" t="n">
        <x:v>0</x:v>
      </x:c>
      <x:c r="I454" s="7"/>
      <x:c r="J454" s="7" t="n">
        <x:v>15</x:v>
      </x:c>
      <x:c r="K454" s="7" t="str">
        <x:v>unverified-denominator</x:v>
      </x:c>
      <x:c r="L454" s="7" t="d">
        <x:v>2026-09-16T05:12:38.111Z</x:v>
      </x:c>
      <x:c r="M454" s="7" t="str">
        <x:v>https://apm.activecommunities.com/portlandparks/Activity_Search/fitness---tai-chi-today-intermediate/208336?locale=en-US</x:v>
      </x:c>
    </x:row>
    <x:row r="455" ht="38" customHeight="1">
      <x:c r="A455" s="8" t="str">
        <x:v>208337</x:v>
      </x:c>
      <x:c r="B455" s="11" t="str">
        <x:v>Fitness - Tai Chi Today: Intermediate</x:v>
      </x:c>
      <x:c r="C455" s="11" t="str">
        <x:v>St Johns Cmty Ctr</x:v>
      </x:c>
      <x:c r="D455" s="11" t="str">
        <x:v>Fitness</x:v>
      </x:c>
      <x:c r="E455" s="8" t="str">
        <x:v>future</x:v>
      </x:c>
      <x:c r="F455" s="8" t="str">
        <x:v>2026-11-03</x:v>
      </x:c>
      <x:c r="G455" s="8" t="str">
        <x:v>2026-11-24</x:v>
      </x:c>
      <x:c r="H455" s="8" t="n">
        <x:v>0</x:v>
      </x:c>
      <x:c r="I455" s="8"/>
      <x:c r="J455" s="8" t="n">
        <x:v>15</x:v>
      </x:c>
      <x:c r="K455" s="8" t="str">
        <x:v>unverified-denominator</x:v>
      </x:c>
      <x:c r="L455" s="8" t="d">
        <x:v>2026-09-16T05:12:38.111Z</x:v>
      </x:c>
      <x:c r="M455" s="8" t="str">
        <x:v>https://apm.activecommunities.com/portlandparks/Activity_Search/fitness---tai-chi-today-intermediate/208337?locale=en-US</x:v>
      </x:c>
    </x:row>
    <x:row r="456" ht="38" customHeight="1">
      <x:c r="A456" s="7" t="str">
        <x:v>208338</x:v>
      </x:c>
      <x:c r="B456" s="12" t="str">
        <x:v>Fitness - Tai Chi Today: Intermediate</x:v>
      </x:c>
      <x:c r="C456" s="12" t="str">
        <x:v>St Johns Cmty Ctr</x:v>
      </x:c>
      <x:c r="D456" s="12" t="str">
        <x:v>Fitness</x:v>
      </x:c>
      <x:c r="E456" s="7" t="str">
        <x:v>future</x:v>
      </x:c>
      <x:c r="F456" s="7" t="str">
        <x:v>2026-12-01</x:v>
      </x:c>
      <x:c r="G456" s="7" t="str">
        <x:v>2026-12-29</x:v>
      </x:c>
      <x:c r="H456" s="7" t="n">
        <x:v>0</x:v>
      </x:c>
      <x:c r="I456" s="7"/>
      <x:c r="J456" s="7" t="n">
        <x:v>15</x:v>
      </x:c>
      <x:c r="K456" s="7" t="str">
        <x:v>unverified-denominator</x:v>
      </x:c>
      <x:c r="L456" s="7" t="d">
        <x:v>2026-09-16T05:12:38.111Z</x:v>
      </x:c>
      <x:c r="M456" s="7" t="str">
        <x:v>https://apm.activecommunities.com/portlandparks/Activity_Search/fitness---tai-chi-today-intermediate/208338?locale=en-US</x:v>
      </x:c>
    </x:row>
    <x:row r="457" ht="38" customHeight="1">
      <x:c r="A457" s="8" t="str">
        <x:v>208761</x:v>
      </x:c>
      <x:c r="B457" s="11" t="str">
        <x:v>Fitness - Vinyasa Flow Yoga</x:v>
      </x:c>
      <x:c r="C457" s="11" t="str">
        <x:v>St Johns Cmty Ctr</x:v>
      </x:c>
      <x:c r="D457" s="11" t="str">
        <x:v>Fitness</x:v>
      </x:c>
      <x:c r="E457" s="8" t="str">
        <x:v>future</x:v>
      </x:c>
      <x:c r="F457" s="8" t="str">
        <x:v>2026-11-04</x:v>
      </x:c>
      <x:c r="G457" s="8" t="str">
        <x:v>2026-12-09</x:v>
      </x:c>
      <x:c r="H457" s="8" t="n">
        <x:v>0</x:v>
      </x:c>
      <x:c r="I457" s="8"/>
      <x:c r="J457" s="8" t="n">
        <x:v>10</x:v>
      </x:c>
      <x:c r="K457" s="8" t="str">
        <x:v>unverified-denominator</x:v>
      </x:c>
      <x:c r="L457" s="8" t="d">
        <x:v>2026-09-16T05:12:38.111Z</x:v>
      </x:c>
      <x:c r="M457" s="8" t="str">
        <x:v>https://apm.activecommunities.com/portlandparks/Activity_Search/fitness---vinyasa-flow-yoga/208761?locale=en-US</x:v>
      </x:c>
    </x:row>
    <x:row r="458" ht="38" customHeight="1">
      <x:c r="A458" s="7" t="str">
        <x:v>208757</x:v>
      </x:c>
      <x:c r="B458" s="12" t="str">
        <x:v>Fitness - Vinyasa Flow Yoga</x:v>
      </x:c>
      <x:c r="C458" s="12" t="str">
        <x:v>St Johns Cmty Ctr</x:v>
      </x:c>
      <x:c r="D458" s="12" t="str">
        <x:v>Fitness</x:v>
      </x:c>
      <x:c r="E458" s="7" t="str">
        <x:v>future</x:v>
      </x:c>
      <x:c r="F458" s="7" t="str">
        <x:v>2026-09-30</x:v>
      </x:c>
      <x:c r="G458" s="7" t="str">
        <x:v>2026-10-28</x:v>
      </x:c>
      <x:c r="H458" s="7" t="n">
        <x:v>10</x:v>
      </x:c>
      <x:c r="I458" s="7"/>
      <x:c r="J458" s="7" t="n">
        <x:v>10</x:v>
      </x:c>
      <x:c r="K458" s="7" t="str">
        <x:v>unverified-denominator</x:v>
      </x:c>
      <x:c r="L458" s="7" t="d">
        <x:v>2026-09-16T05:12:38.111Z</x:v>
      </x:c>
      <x:c r="M458" s="7" t="str">
        <x:v>https://apm.activecommunities.com/portlandparks/Activity_Search/fitness---vinyasa-flow-yoga/208757?locale=en-US</x:v>
      </x:c>
    </x:row>
    <x:row r="459" ht="38" customHeight="1">
      <x:c r="A459" s="8" t="str">
        <x:v>201163</x:v>
      </x:c>
      <x:c r="B459" s="11" t="str">
        <x:v>Fitness - Vinyasa Flow Yoga</x:v>
      </x:c>
      <x:c r="C459" s="11" t="str">
        <x:v>St Johns Cmty Ctr</x:v>
      </x:c>
      <x:c r="D459" s="11" t="str">
        <x:v>Fitness</x:v>
      </x:c>
      <x:c r="E459" s="8" t="str">
        <x:v>active</x:v>
      </x:c>
      <x:c r="F459" s="8" t="str">
        <x:v>2026-09-02</x:v>
      </x:c>
      <x:c r="G459" s="8" t="str">
        <x:v>2026-09-23</x:v>
      </x:c>
      <x:c r="H459" s="8" t="n">
        <x:v>6</x:v>
      </x:c>
      <x:c r="I459" s="8"/>
      <x:c r="J459" s="8" t="n">
        <x:v>10</x:v>
      </x:c>
      <x:c r="K459" s="8" t="str">
        <x:v>unverified-denominator</x:v>
      </x:c>
      <x:c r="L459" s="8" t="d">
        <x:v>2026-09-16T05:12:38.111Z</x:v>
      </x:c>
      <x:c r="M459" s="8" t="str">
        <x:v>https://apm.activecommunities.com/portlandparks/Activity_Search/fitness---vinyasa-flow-yoga/201163?locale=en-US</x:v>
      </x:c>
    </x:row>
    <x:row r="460" ht="38" customHeight="1">
      <x:c r="A460" s="7" t="str">
        <x:v>208097</x:v>
      </x:c>
      <x:c r="B460" s="12" t="str">
        <x:v>Fitness - Yoga</x:v>
      </x:c>
      <x:c r="C460" s="12" t="str">
        <x:v>Peninsula Park Cmty Ctr</x:v>
      </x:c>
      <x:c r="D460" s="12" t="str">
        <x:v>Fitness</x:v>
      </x:c>
      <x:c r="E460" s="7" t="str">
        <x:v>future</x:v>
      </x:c>
      <x:c r="F460" s="7" t="str">
        <x:v>2026-11-03</x:v>
      </x:c>
      <x:c r="G460" s="7" t="str">
        <x:v>2026-12-01</x:v>
      </x:c>
      <x:c r="H460" s="7" t="n">
        <x:v>0</x:v>
      </x:c>
      <x:c r="I460" s="7"/>
      <x:c r="J460" s="7" t="n">
        <x:v>12</x:v>
      </x:c>
      <x:c r="K460" s="7" t="str">
        <x:v>unverified-denominator</x:v>
      </x:c>
      <x:c r="L460" s="7" t="d">
        <x:v>2026-09-16T05:12:38.111Z</x:v>
      </x:c>
      <x:c r="M460" s="7" t="str">
        <x:v>https://apm.activecommunities.com/portlandparks/Activity_Search/fitness---yoga/208097?locale=en-US</x:v>
      </x:c>
    </x:row>
    <x:row r="461" ht="38" customHeight="1">
      <x:c r="A461" s="8" t="str">
        <x:v>208093</x:v>
      </x:c>
      <x:c r="B461" s="11" t="str">
        <x:v>Fitness - Yoga</x:v>
      </x:c>
      <x:c r="C461" s="11" t="str">
        <x:v>Peninsula Park Cmty Ctr</x:v>
      </x:c>
      <x:c r="D461" s="11" t="str">
        <x:v>Fitness</x:v>
      </x:c>
      <x:c r="E461" s="8" t="str">
        <x:v>future</x:v>
      </x:c>
      <x:c r="F461" s="8" t="str">
        <x:v>2026-09-29</x:v>
      </x:c>
      <x:c r="G461" s="8" t="str">
        <x:v>2026-10-27</x:v>
      </x:c>
      <x:c r="H461" s="8" t="n">
        <x:v>6</x:v>
      </x:c>
      <x:c r="I461" s="8"/>
      <x:c r="J461" s="8" t="n">
        <x:v>12</x:v>
      </x:c>
      <x:c r="K461" s="8" t="str">
        <x:v>unverified-denominator</x:v>
      </x:c>
      <x:c r="L461" s="8" t="d">
        <x:v>2026-09-16T05:12:38.111Z</x:v>
      </x:c>
      <x:c r="M461" s="8" t="str">
        <x:v>https://apm.activecommunities.com/portlandparks/Activity_Search/fitness---yoga/208093?locale=en-US</x:v>
      </x:c>
    </x:row>
    <x:row r="462" ht="38" customHeight="1">
      <x:c r="A462" s="7" t="str">
        <x:v>199285</x:v>
      </x:c>
      <x:c r="B462" s="12" t="str">
        <x:v>Fitness - Yoga Fit</x:v>
      </x:c>
      <x:c r="C462" s="12" t="str">
        <x:v>First Congregational Church</x:v>
      </x:c>
      <x:c r="D462" s="12" t="str">
        <x:v>Fitness</x:v>
      </x:c>
      <x:c r="E462" s="7" t="str">
        <x:v>active</x:v>
      </x:c>
      <x:c r="F462" s="7" t="str">
        <x:v>2026-06-22</x:v>
      </x:c>
      <x:c r="G462" s="7" t="str">
        <x:v>2026-09-21</x:v>
      </x:c>
      <x:c r="H462" s="7" t="n">
        <x:v>10</x:v>
      </x:c>
      <x:c r="I462" s="7"/>
      <x:c r="J462" s="7" t="n">
        <x:v>16</x:v>
      </x:c>
      <x:c r="K462" s="7" t="str">
        <x:v>unverified-denominator</x:v>
      </x:c>
      <x:c r="L462" s="7" t="d">
        <x:v>2026-09-16T05:12:38.111Z</x:v>
      </x:c>
      <x:c r="M462" s="7" t="str">
        <x:v>https://apm.activecommunities.com/portlandparks/Activity_Search/fitness---yoga-fit/199285?locale=en-US</x:v>
      </x:c>
    </x:row>
    <x:row r="463" ht="38" customHeight="1">
      <x:c r="A463" s="8" t="str">
        <x:v>207312</x:v>
      </x:c>
      <x:c r="B463" s="11" t="str">
        <x:v>Fitness - Yoga Fit</x:v>
      </x:c>
      <x:c r="C463" s="11" t="str">
        <x:v>First Congregational Church</x:v>
      </x:c>
      <x:c r="D463" s="11" t="str">
        <x:v>Fitness</x:v>
      </x:c>
      <x:c r="E463" s="8" t="str">
        <x:v>future</x:v>
      </x:c>
      <x:c r="F463" s="8" t="str">
        <x:v>2026-09-28</x:v>
      </x:c>
      <x:c r="G463" s="8" t="str">
        <x:v>2026-12-07</x:v>
      </x:c>
      <x:c r="H463" s="8" t="n">
        <x:v>5</x:v>
      </x:c>
      <x:c r="I463" s="8"/>
      <x:c r="J463" s="8" t="n">
        <x:v>16</x:v>
      </x:c>
      <x:c r="K463" s="8" t="str">
        <x:v>unverified-denominator</x:v>
      </x:c>
      <x:c r="L463" s="8" t="d">
        <x:v>2026-09-16T05:12:38.111Z</x:v>
      </x:c>
      <x:c r="M463" s="8" t="str">
        <x:v>https://apm.activecommunities.com/portlandparks/Activity_Search/fitness---yoga-fit/207312?locale=en-US</x:v>
      </x:c>
    </x:row>
    <x:row r="464" ht="38" customHeight="1">
      <x:c r="A464" s="7" t="str">
        <x:v>207670</x:v>
      </x:c>
      <x:c r="B464" s="12" t="str">
        <x:v>Fitness - Yoga For Everyone</x:v>
      </x:c>
      <x:c r="C464" s="12" t="str">
        <x:v>Woodstock Cmty Ctr</x:v>
      </x:c>
      <x:c r="D464" s="12" t="str">
        <x:v>Fitness</x:v>
      </x:c>
      <x:c r="E464" s="7" t="str">
        <x:v>future</x:v>
      </x:c>
      <x:c r="F464" s="7" t="str">
        <x:v>2026-09-30</x:v>
      </x:c>
      <x:c r="G464" s="7" t="str">
        <x:v>2026-10-28</x:v>
      </x:c>
      <x:c r="H464" s="7" t="n">
        <x:v>10</x:v>
      </x:c>
      <x:c r="I464" s="7" t="n">
        <x:v>2</x:v>
      </x:c>
      <x:c r="J464" s="7" t="n">
        <x:v>10</x:v>
      </x:c>
      <x:c r="K464" s="7" t="str">
        <x:v>unverified-denominator</x:v>
      </x:c>
      <x:c r="L464" s="7" t="d">
        <x:v>2026-09-16T05:12:38.111Z</x:v>
      </x:c>
      <x:c r="M464" s="7" t="str">
        <x:v>https://apm.activecommunities.com/portlandparks/Activity_Search/fitness---yoga-for-everyone/207670?locale=en-US</x:v>
      </x:c>
    </x:row>
    <x:row r="465" ht="38" customHeight="1">
      <x:c r="A465" s="8" t="str">
        <x:v>207907</x:v>
      </x:c>
      <x:c r="B465" s="11" t="str">
        <x:v>Fitness - Yoga For Everyone</x:v>
      </x:c>
      <x:c r="C465" s="11" t="str">
        <x:v>Woodstock Cmty Ctr</x:v>
      </x:c>
      <x:c r="D465" s="11" t="str">
        <x:v>Fitness</x:v>
      </x:c>
      <x:c r="E465" s="8" t="str">
        <x:v>future</x:v>
      </x:c>
      <x:c r="F465" s="8" t="str">
        <x:v>2026-11-04</x:v>
      </x:c>
      <x:c r="G465" s="8" t="str">
        <x:v>2026-12-09</x:v>
      </x:c>
      <x:c r="H465" s="8" t="n">
        <x:v>0</x:v>
      </x:c>
      <x:c r="I465" s="8"/>
      <x:c r="J465" s="8" t="n">
        <x:v>10</x:v>
      </x:c>
      <x:c r="K465" s="8" t="str">
        <x:v>unverified-denominator</x:v>
      </x:c>
      <x:c r="L465" s="8" t="d">
        <x:v>2026-09-16T05:12:38.111Z</x:v>
      </x:c>
      <x:c r="M465" s="8" t="str">
        <x:v>https://apm.activecommunities.com/portlandparks/Activity_Search/fitness---yoga-for-everyone/207907?locale=en-US</x:v>
      </x:c>
    </x:row>
    <x:row r="466" ht="38" customHeight="1">
      <x:c r="A466" s="7" t="str">
        <x:v>204688</x:v>
      </x:c>
      <x:c r="B466" s="12" t="str">
        <x:v>Fitness - Yoga For Everyone</x:v>
      </x:c>
      <x:c r="C466" s="12" t="str">
        <x:v>Woodstock Cmty Ctr</x:v>
      </x:c>
      <x:c r="D466" s="12" t="str">
        <x:v>Fitness</x:v>
      </x:c>
      <x:c r="E466" s="7" t="str">
        <x:v>active</x:v>
      </x:c>
      <x:c r="F466" s="7" t="str">
        <x:v>2026-09-02</x:v>
      </x:c>
      <x:c r="G466" s="7" t="str">
        <x:v>2026-09-23</x:v>
      </x:c>
      <x:c r="H466" s="7" t="n">
        <x:v>10</x:v>
      </x:c>
      <x:c r="I466" s="7" t="n">
        <x:v>3</x:v>
      </x:c>
      <x:c r="J466" s="7" t="n">
        <x:v>10</x:v>
      </x:c>
      <x:c r="K466" s="7" t="str">
        <x:v>unverified-denominator</x:v>
      </x:c>
      <x:c r="L466" s="7" t="d">
        <x:v>2026-09-16T05:12:38.111Z</x:v>
      </x:c>
      <x:c r="M466" s="7" t="str">
        <x:v>https://apm.activecommunities.com/portlandparks/Activity_Search/fitness---yoga-for-everyone/204688?locale=en-US</x:v>
      </x:c>
    </x:row>
    <x:row r="467" ht="38" customHeight="1">
      <x:c r="A467" s="8" t="str">
        <x:v>204689</x:v>
      </x:c>
      <x:c r="B467" s="11" t="str">
        <x:v>Fitness - Yoga for Healthy Aging</x:v>
      </x:c>
      <x:c r="C467" s="11" t="str">
        <x:v>Woodstock Cmty Ctr</x:v>
      </x:c>
      <x:c r="D467" s="11" t="str">
        <x:v>Fitness</x:v>
      </x:c>
      <x:c r="E467" s="8" t="str">
        <x:v>active</x:v>
      </x:c>
      <x:c r="F467" s="8" t="str">
        <x:v>2026-09-01</x:v>
      </x:c>
      <x:c r="G467" s="8" t="str">
        <x:v>2026-09-22</x:v>
      </x:c>
      <x:c r="H467" s="8" t="n">
        <x:v>10</x:v>
      </x:c>
      <x:c r="I467" s="8"/>
      <x:c r="J467" s="8" t="n">
        <x:v>10</x:v>
      </x:c>
      <x:c r="K467" s="8" t="str">
        <x:v>unverified-denominator</x:v>
      </x:c>
      <x:c r="L467" s="8" t="d">
        <x:v>2026-09-16T05:12:38.111Z</x:v>
      </x:c>
      <x:c r="M467" s="8" t="str">
        <x:v>https://apm.activecommunities.com/portlandparks/Activity_Search/fitness---yoga-for-healthy-aging/204689?locale=en-US</x:v>
      </x:c>
    </x:row>
    <x:row r="468" ht="38" customHeight="1">
      <x:c r="A468" s="7" t="str">
        <x:v>207908</x:v>
      </x:c>
      <x:c r="B468" s="12" t="str">
        <x:v>Fitness - Yoga for Healthy Aging</x:v>
      </x:c>
      <x:c r="C468" s="12" t="str">
        <x:v>Woodstock Cmty Ctr</x:v>
      </x:c>
      <x:c r="D468" s="12" t="str">
        <x:v>Fitness</x:v>
      </x:c>
      <x:c r="E468" s="7" t="str">
        <x:v>future</x:v>
      </x:c>
      <x:c r="F468" s="7" t="str">
        <x:v>2026-11-03</x:v>
      </x:c>
      <x:c r="G468" s="7" t="str">
        <x:v>2026-12-01</x:v>
      </x:c>
      <x:c r="H468" s="7" t="n">
        <x:v>0</x:v>
      </x:c>
      <x:c r="I468" s="7"/>
      <x:c r="J468" s="7" t="n">
        <x:v>10</x:v>
      </x:c>
      <x:c r="K468" s="7" t="str">
        <x:v>unverified-denominator</x:v>
      </x:c>
      <x:c r="L468" s="7" t="d">
        <x:v>2026-09-16T05:12:38.111Z</x:v>
      </x:c>
      <x:c r="M468" s="7" t="str">
        <x:v>https://apm.activecommunities.com/portlandparks/Activity_Search/fitness---yoga-for-healthy-aging/207908?locale=en-US</x:v>
      </x:c>
    </x:row>
    <x:row r="469" ht="38" customHeight="1">
      <x:c r="A469" s="8" t="str">
        <x:v>207671</x:v>
      </x:c>
      <x:c r="B469" s="11" t="str">
        <x:v>Fitness - Yoga for Healthy Aging</x:v>
      </x:c>
      <x:c r="C469" s="11" t="str">
        <x:v>Woodstock Cmty Ctr</x:v>
      </x:c>
      <x:c r="D469" s="11" t="str">
        <x:v>Fitness</x:v>
      </x:c>
      <x:c r="E469" s="8" t="str">
        <x:v>future</x:v>
      </x:c>
      <x:c r="F469" s="8" t="str">
        <x:v>2026-09-29</x:v>
      </x:c>
      <x:c r="G469" s="8" t="str">
        <x:v>2026-10-27</x:v>
      </x:c>
      <x:c r="H469" s="8" t="n">
        <x:v>10</x:v>
      </x:c>
      <x:c r="I469" s="8" t="n">
        <x:v>1</x:v>
      </x:c>
      <x:c r="J469" s="8" t="n">
        <x:v>10</x:v>
      </x:c>
      <x:c r="K469" s="8" t="str">
        <x:v>unverified-denominator</x:v>
      </x:c>
      <x:c r="L469" s="8" t="d">
        <x:v>2026-09-16T05:12:38.111Z</x:v>
      </x:c>
      <x:c r="M469" s="8" t="str">
        <x:v>https://apm.activecommunities.com/portlandparks/Activity_Search/fitness---yoga-for-healthy-aging/207671?locale=en-US</x:v>
      </x:c>
    </x:row>
    <x:row r="470" ht="38" customHeight="1">
      <x:c r="A470" s="7" t="str">
        <x:v>208717</x:v>
      </x:c>
      <x:c r="B470" s="12" t="str">
        <x:v>Fitness - Yoga: Conditioning</x:v>
      </x:c>
      <x:c r="C470" s="12" t="str">
        <x:v>Mt Tabor SUN Cmty School</x:v>
      </x:c>
      <x:c r="D470" s="12" t="str">
        <x:v>Fitness</x:v>
      </x:c>
      <x:c r="E470" s="7" t="str">
        <x:v>future</x:v>
      </x:c>
      <x:c r="F470" s="7" t="str">
        <x:v>2026-10-20</x:v>
      </x:c>
      <x:c r="G470" s="7" t="str">
        <x:v>2026-12-01</x:v>
      </x:c>
      <x:c r="H470" s="7" t="n">
        <x:v>11</x:v>
      </x:c>
      <x:c r="I470" s="7"/>
      <x:c r="J470" s="7" t="n">
        <x:v>15</x:v>
      </x:c>
      <x:c r="K470" s="7" t="str">
        <x:v>unverified-denominator</x:v>
      </x:c>
      <x:c r="L470" s="7" t="d">
        <x:v>2026-09-16T05:12:38.111Z</x:v>
      </x:c>
      <x:c r="M470" s="7" t="str">
        <x:v>https://apm.activecommunities.com/portlandparks/Activity_Search/fitness---yoga-conditioning/208717?locale=en-US</x:v>
      </x:c>
    </x:row>
    <x:row r="471" ht="38" customHeight="1">
      <x:c r="A471" s="8" t="str">
        <x:v>207922</x:v>
      </x:c>
      <x:c r="B471" s="11" t="str">
        <x:v>Fitness - Yoga: Fit (Chair Yoga)</x:v>
      </x:c>
      <x:c r="C471" s="11" t="str">
        <x:v>Montavilla Cmty Ctr</x:v>
      </x:c>
      <x:c r="D471" s="11" t="str">
        <x:v>Fitness</x:v>
      </x:c>
      <x:c r="E471" s="8" t="str">
        <x:v>future</x:v>
      </x:c>
      <x:c r="F471" s="8" t="str">
        <x:v>2026-10-01</x:v>
      </x:c>
      <x:c r="G471" s="8" t="str">
        <x:v>2026-12-10</x:v>
      </x:c>
      <x:c r="H471" s="8" t="n">
        <x:v>4</x:v>
      </x:c>
      <x:c r="I471" s="8"/>
      <x:c r="J471" s="8" t="n">
        <x:v>20</x:v>
      </x:c>
      <x:c r="K471" s="8" t="str">
        <x:v>unverified-denominator</x:v>
      </x:c>
      <x:c r="L471" s="8" t="d">
        <x:v>2026-09-16T05:12:38.111Z</x:v>
      </x:c>
      <x:c r="M471" s="8" t="str">
        <x:v>https://apm.activecommunities.com/portlandparks/Activity_Search/fitness---yoga-fit-chair-yoga/207922?locale=en-US</x:v>
      </x:c>
    </x:row>
    <x:row r="472" ht="38" customHeight="1">
      <x:c r="A472" s="7" t="str">
        <x:v>198601</x:v>
      </x:c>
      <x:c r="B472" s="12" t="str">
        <x:v>Fitness - Yoga: Fit (Chair Yoga)</x:v>
      </x:c>
      <x:c r="C472" s="12" t="str">
        <x:v>Montavilla Cmty Ctr</x:v>
      </x:c>
      <x:c r="D472" s="12" t="str">
        <x:v>Fitness</x:v>
      </x:c>
      <x:c r="E472" s="7" t="str">
        <x:v>active</x:v>
      </x:c>
      <x:c r="F472" s="7" t="str">
        <x:v>2026-09-03</x:v>
      </x:c>
      <x:c r="G472" s="7" t="str">
        <x:v>2026-09-24</x:v>
      </x:c>
      <x:c r="H472" s="7" t="n">
        <x:v>8</x:v>
      </x:c>
      <x:c r="I472" s="7"/>
      <x:c r="J472" s="7" t="n">
        <x:v>20</x:v>
      </x:c>
      <x:c r="K472" s="7" t="str">
        <x:v>unverified-denominator</x:v>
      </x:c>
      <x:c r="L472" s="7" t="d">
        <x:v>2026-09-16T05:12:38.111Z</x:v>
      </x:c>
      <x:c r="M472" s="7" t="str">
        <x:v>https://apm.activecommunities.com/portlandparks/Activity_Search/fitness---yoga-fit-chair-yoga/198601?locale=en-US</x:v>
      </x:c>
    </x:row>
    <x:row r="473" ht="38" customHeight="1">
      <x:c r="A473" s="8" t="str">
        <x:v>198602</x:v>
      </x:c>
      <x:c r="B473" s="11" t="str">
        <x:v>Fitness - Yoga: Fit (Intermediate Yoga)</x:v>
      </x:c>
      <x:c r="C473" s="11" t="str">
        <x:v>Montavilla Cmty Ctr</x:v>
      </x:c>
      <x:c r="D473" s="11" t="str">
        <x:v>Fitness</x:v>
      </x:c>
      <x:c r="E473" s="8" t="str">
        <x:v>active</x:v>
      </x:c>
      <x:c r="F473" s="8" t="str">
        <x:v>2026-09-01</x:v>
      </x:c>
      <x:c r="G473" s="8" t="str">
        <x:v>2026-09-22</x:v>
      </x:c>
      <x:c r="H473" s="8" t="n">
        <x:v>7</x:v>
      </x:c>
      <x:c r="I473" s="8"/>
      <x:c r="J473" s="8" t="n">
        <x:v>12</x:v>
      </x:c>
      <x:c r="K473" s="8" t="str">
        <x:v>unverified-denominator</x:v>
      </x:c>
      <x:c r="L473" s="8" t="d">
        <x:v>2026-09-16T05:12:38.111Z</x:v>
      </x:c>
      <x:c r="M473" s="8" t="str">
        <x:v>https://apm.activecommunities.com/portlandparks/Activity_Search/fitness---yoga-fit-intermediate-yoga/198602?locale=en-US</x:v>
      </x:c>
    </x:row>
    <x:row r="474" ht="38" customHeight="1">
      <x:c r="A474" s="7" t="str">
        <x:v>207921</x:v>
      </x:c>
      <x:c r="B474" s="12" t="str">
        <x:v>Fitness - Yoga: Fit (Intermediate Yoga)</x:v>
      </x:c>
      <x:c r="C474" s="12" t="str">
        <x:v>Montavilla Cmty Ctr</x:v>
      </x:c>
      <x:c r="D474" s="12" t="str">
        <x:v>Fitness</x:v>
      </x:c>
      <x:c r="E474" s="7" t="str">
        <x:v>future</x:v>
      </x:c>
      <x:c r="F474" s="7" t="str">
        <x:v>2026-09-29</x:v>
      </x:c>
      <x:c r="G474" s="7" t="str">
        <x:v>2026-12-01</x:v>
      </x:c>
      <x:c r="H474" s="7" t="n">
        <x:v>2</x:v>
      </x:c>
      <x:c r="I474" s="7"/>
      <x:c r="J474" s="7" t="n">
        <x:v>12</x:v>
      </x:c>
      <x:c r="K474" s="7" t="str">
        <x:v>unverified-denominator</x:v>
      </x:c>
      <x:c r="L474" s="7" t="d">
        <x:v>2026-09-16T05:12:38.111Z</x:v>
      </x:c>
      <x:c r="M474" s="7" t="str">
        <x:v>https://apm.activecommunities.com/portlandparks/Activity_Search/fitness---yoga-fit-intermediate-yoga/207921?locale=en-US</x:v>
      </x:c>
    </x:row>
    <x:row r="475" ht="38" customHeight="1">
      <x:c r="A475" s="8" t="str">
        <x:v>208625</x:v>
      </x:c>
      <x:c r="B475" s="11" t="str">
        <x:v>Fitness - Yoga: Once Upon a Pose</x:v>
      </x:c>
      <x:c r="C475" s="11" t="str">
        <x:v>Charles Jordan Cmty Ctr</x:v>
      </x:c>
      <x:c r="D475" s="11" t="str">
        <x:v>Fitness</x:v>
      </x:c>
      <x:c r="E475" s="8" t="str">
        <x:v>future</x:v>
      </x:c>
      <x:c r="F475" s="8" t="str">
        <x:v>2026-10-03</x:v>
      </x:c>
      <x:c r="G475" s="8" t="str">
        <x:v>2026-10-31</x:v>
      </x:c>
      <x:c r="H475" s="8" t="n">
        <x:v>1</x:v>
      </x:c>
      <x:c r="I475" s="8"/>
      <x:c r="J475" s="8" t="n">
        <x:v>12</x:v>
      </x:c>
      <x:c r="K475" s="8" t="str">
        <x:v>unverified-denominator</x:v>
      </x:c>
      <x:c r="L475" s="8" t="d">
        <x:v>2026-09-16T05:12:38.111Z</x:v>
      </x:c>
      <x:c r="M475" s="8" t="str">
        <x:v>https://apm.activecommunities.com/portlandparks/Activity_Search/fitness---yoga-once-upon-a-pose/208625?locale=en-US</x:v>
      </x:c>
    </x:row>
    <x:row r="476" ht="38" customHeight="1">
      <x:c r="A476" s="7" t="str">
        <x:v>208640</x:v>
      </x:c>
      <x:c r="B476" s="12" t="str">
        <x:v>Fitness - Yoga: Once Upon a Pose</x:v>
      </x:c>
      <x:c r="C476" s="12" t="str">
        <x:v>Charles Jordan Cmty Ctr</x:v>
      </x:c>
      <x:c r="D476" s="12" t="str">
        <x:v>Fitness</x:v>
      </x:c>
      <x:c r="E476" s="7" t="str">
        <x:v>future</x:v>
      </x:c>
      <x:c r="F476" s="7" t="str">
        <x:v>2026-11-07</x:v>
      </x:c>
      <x:c r="G476" s="7" t="str">
        <x:v>2026-12-12</x:v>
      </x:c>
      <x:c r="H476" s="7" t="n">
        <x:v>0</x:v>
      </x:c>
      <x:c r="I476" s="7"/>
      <x:c r="J476" s="7" t="n">
        <x:v>12</x:v>
      </x:c>
      <x:c r="K476" s="7" t="str">
        <x:v>unverified-denominator</x:v>
      </x:c>
      <x:c r="L476" s="7" t="d">
        <x:v>2026-09-16T05:12:38.111Z</x:v>
      </x:c>
      <x:c r="M476" s="7" t="str">
        <x:v>https://apm.activecommunities.com/portlandparks/Activity_Search/fitness---yoga-once-upon-a-pose/208640?locale=en-US</x:v>
      </x:c>
    </x:row>
    <x:row r="477" ht="38" customHeight="1">
      <x:c r="A477" s="8" t="str">
        <x:v>207644</x:v>
      </x:c>
      <x:c r="B477" s="11" t="str">
        <x:v>Fitness - Yoga: Once Upon a Pose (Ages 3-5)</x:v>
      </x:c>
      <x:c r="C477" s="11" t="str">
        <x:v>Southwest Cmty Ctr</x:v>
      </x:c>
      <x:c r="D477" s="11" t="str">
        <x:v>Fitness</x:v>
      </x:c>
      <x:c r="E477" s="8" t="str">
        <x:v>future</x:v>
      </x:c>
      <x:c r="F477" s="8" t="str">
        <x:v>2026-09-30</x:v>
      </x:c>
      <x:c r="G477" s="8" t="str">
        <x:v>2026-10-28</x:v>
      </x:c>
      <x:c r="H477" s="8" t="n">
        <x:v>7</x:v>
      </x:c>
      <x:c r="I477" s="8"/>
      <x:c r="J477" s="8" t="n">
        <x:v>10</x:v>
      </x:c>
      <x:c r="K477" s="8" t="str">
        <x:v>unverified-denominator</x:v>
      </x:c>
      <x:c r="L477" s="8" t="d">
        <x:v>2026-09-16T05:12:38.111Z</x:v>
      </x:c>
      <x:c r="M477" s="8" t="str">
        <x:v>https://apm.activecommunities.com/portlandparks/Activity_Search/fitness---yoga-once-upon-a-pose-ages-3-5/207644?locale=en-US</x:v>
      </x:c>
    </x:row>
    <x:row r="478" ht="38" customHeight="1">
      <x:c r="A478" s="7" t="str">
        <x:v>208641</x:v>
      </x:c>
      <x:c r="B478" s="12" t="str">
        <x:v>Fitness - Yoga: Once Upon a Pose (Ages 6-10)</x:v>
      </x:c>
      <x:c r="C478" s="12" t="str">
        <x:v>Charles Jordan Cmty Ctr</x:v>
      </x:c>
      <x:c r="D478" s="12" t="str">
        <x:v>Fitness</x:v>
      </x:c>
      <x:c r="E478" s="7" t="str">
        <x:v>future</x:v>
      </x:c>
      <x:c r="F478" s="7" t="str">
        <x:v>2026-11-07</x:v>
      </x:c>
      <x:c r="G478" s="7" t="str">
        <x:v>2026-12-12</x:v>
      </x:c>
      <x:c r="H478" s="7" t="n">
        <x:v>0</x:v>
      </x:c>
      <x:c r="I478" s="7"/>
      <x:c r="J478" s="7" t="n">
        <x:v>12</x:v>
      </x:c>
      <x:c r="K478" s="7" t="str">
        <x:v>unverified-denominator</x:v>
      </x:c>
      <x:c r="L478" s="7" t="d">
        <x:v>2026-09-16T05:12:38.111Z</x:v>
      </x:c>
      <x:c r="M478" s="7" t="str">
        <x:v>https://apm.activecommunities.com/portlandparks/Activity_Search/fitness---yoga-once-upon-a-pose-ages-6-10/208641?locale=en-US</x:v>
      </x:c>
    </x:row>
    <x:row r="479" ht="38" customHeight="1">
      <x:c r="A479" s="8" t="str">
        <x:v>208626</x:v>
      </x:c>
      <x:c r="B479" s="11" t="str">
        <x:v>Fitness - Yoga: Once Upon a Pose (Ages 6-10)</x:v>
      </x:c>
      <x:c r="C479" s="11" t="str">
        <x:v>Charles Jordan Cmty Ctr</x:v>
      </x:c>
      <x:c r="D479" s="11" t="str">
        <x:v>Fitness</x:v>
      </x:c>
      <x:c r="E479" s="8" t="str">
        <x:v>future</x:v>
      </x:c>
      <x:c r="F479" s="8" t="str">
        <x:v>2026-10-03</x:v>
      </x:c>
      <x:c r="G479" s="8" t="str">
        <x:v>2026-10-31</x:v>
      </x:c>
      <x:c r="H479" s="8" t="n">
        <x:v>0</x:v>
      </x:c>
      <x:c r="I479" s="8"/>
      <x:c r="J479" s="8" t="n">
        <x:v>10</x:v>
      </x:c>
      <x:c r="K479" s="8" t="str">
        <x:v>unverified-denominator</x:v>
      </x:c>
      <x:c r="L479" s="8" t="d">
        <x:v>2026-09-16T05:12:38.111Z</x:v>
      </x:c>
      <x:c r="M479" s="8" t="str">
        <x:v>https://apm.activecommunities.com/portlandparks/Activity_Search/fitness---yoga-once-upon-a-pose-ages-6-10/208626?locale=en-US</x:v>
      </x:c>
    </x:row>
    <x:row r="480" ht="38" customHeight="1">
      <x:c r="A480" s="7" t="str">
        <x:v>208094</x:v>
      </x:c>
      <x:c r="B480" s="12" t="str">
        <x:v>Fitness - Zumba</x:v>
      </x:c>
      <x:c r="C480" s="12" t="str">
        <x:v>Peninsula Park Cmty Ctr</x:v>
      </x:c>
      <x:c r="D480" s="12" t="str">
        <x:v>Fitness</x:v>
      </x:c>
      <x:c r="E480" s="7" t="str">
        <x:v>future</x:v>
      </x:c>
      <x:c r="F480" s="7" t="str">
        <x:v>2026-10-01</x:v>
      </x:c>
      <x:c r="G480" s="7" t="str">
        <x:v>2026-10-29</x:v>
      </x:c>
      <x:c r="H480" s="7" t="n">
        <x:v>9</x:v>
      </x:c>
      <x:c r="I480" s="7"/>
      <x:c r="J480" s="7" t="n">
        <x:v>20</x:v>
      </x:c>
      <x:c r="K480" s="7" t="str">
        <x:v>unverified-denominator</x:v>
      </x:c>
      <x:c r="L480" s="7" t="d">
        <x:v>2026-09-16T05:12:38.111Z</x:v>
      </x:c>
      <x:c r="M480" s="7" t="str">
        <x:v>https://apm.activecommunities.com/portlandparks/Activity_Search/fitness---zumba/208094?locale=en-US</x:v>
      </x:c>
    </x:row>
    <x:row r="481" ht="38" customHeight="1">
      <x:c r="A481" s="8" t="str">
        <x:v>208098</x:v>
      </x:c>
      <x:c r="B481" s="11" t="str">
        <x:v>Fitness - Zumba</x:v>
      </x:c>
      <x:c r="C481" s="11" t="str">
        <x:v>Peninsula Park Cmty Ctr</x:v>
      </x:c>
      <x:c r="D481" s="11" t="str">
        <x:v>Fitness</x:v>
      </x:c>
      <x:c r="E481" s="8" t="str">
        <x:v>future</x:v>
      </x:c>
      <x:c r="F481" s="8" t="str">
        <x:v>2026-11-12</x:v>
      </x:c>
      <x:c r="G481" s="8" t="str">
        <x:v>2026-12-10</x:v>
      </x:c>
      <x:c r="H481" s="8" t="n">
        <x:v>0</x:v>
      </x:c>
      <x:c r="I481" s="8"/>
      <x:c r="J481" s="8" t="n">
        <x:v>20</x:v>
      </x:c>
      <x:c r="K481" s="8" t="str">
        <x:v>unverified-denominator</x:v>
      </x:c>
      <x:c r="L481" s="8" t="d">
        <x:v>2026-09-16T05:12:38.111Z</x:v>
      </x:c>
      <x:c r="M481" s="8" t="str">
        <x:v>https://apm.activecommunities.com/portlandparks/Activity_Search/fitness---zumba/208098?locale=en-US</x:v>
      </x:c>
    </x:row>
    <x:row r="482" ht="38" customHeight="1">
      <x:c r="A482" s="7" t="str">
        <x:v>207652</x:v>
      </x:c>
      <x:c r="B482" s="12" t="str">
        <x:v>Fitness – Weight Room Confidence</x:v>
      </x:c>
      <x:c r="C482" s="12" t="str">
        <x:v>Southwest Cmty Ctr</x:v>
      </x:c>
      <x:c r="D482" s="12" t="str">
        <x:v>Fitness</x:v>
      </x:c>
      <x:c r="E482" s="7" t="str">
        <x:v>future</x:v>
      </x:c>
      <x:c r="F482" s="7" t="str">
        <x:v>2026-11-04</x:v>
      </x:c>
      <x:c r="G482" s="7" t="str">
        <x:v>2026-12-09</x:v>
      </x:c>
      <x:c r="H482" s="7" t="n">
        <x:v>0</x:v>
      </x:c>
      <x:c r="I482" s="7"/>
      <x:c r="J482" s="7" t="n">
        <x:v>6</x:v>
      </x:c>
      <x:c r="K482" s="7" t="str">
        <x:v>unverified-denominator</x:v>
      </x:c>
      <x:c r="L482" s="7" t="d">
        <x:v>2026-09-16T05:12:38.111Z</x:v>
      </x:c>
      <x:c r="M482" s="7" t="str">
        <x:v>https://apm.activecommunities.com/portlandparks/Activity_Search/fitness-weight-room-confidence/207652?locale=en-US</x:v>
      </x:c>
    </x:row>
    <x:row r="483" ht="38" customHeight="1">
      <x:c r="A483" s="8" t="str">
        <x:v>207647</x:v>
      </x:c>
      <x:c r="B483" s="11" t="str">
        <x:v>Fitness – Weight Room Introduction</x:v>
      </x:c>
      <x:c r="C483" s="11" t="str">
        <x:v>Southwest Cmty Ctr</x:v>
      </x:c>
      <x:c r="D483" s="11" t="str">
        <x:v>Fitness</x:v>
      </x:c>
      <x:c r="E483" s="8" t="str">
        <x:v>undated</x:v>
      </x:c>
      <x:c r="F483" s="8" t="str">
        <x:v>2026-09-30</x:v>
      </x:c>
      <x:c r="G483" s="8" t="str"/>
      <x:c r="H483" s="8" t="n">
        <x:v>4</x:v>
      </x:c>
      <x:c r="I483" s="8" t="n">
        <x:v>1</x:v>
      </x:c>
      <x:c r="J483" s="8" t="n">
        <x:v>4</x:v>
      </x:c>
      <x:c r="K483" s="8" t="str">
        <x:v>unverified-denominator</x:v>
      </x:c>
      <x:c r="L483" s="8" t="d">
        <x:v>2026-09-16T05:12:38.111Z</x:v>
      </x:c>
      <x:c r="M483" s="8" t="str">
        <x:v>https://apm.activecommunities.com/portlandparks/Activity_Search/fitness-weight-room-introduction/207647?locale=en-US</x:v>
      </x:c>
    </x:row>
    <x:row r="484" ht="38" customHeight="1">
      <x:c r="A484" s="7" t="str">
        <x:v>207648</x:v>
      </x:c>
      <x:c r="B484" s="12" t="str">
        <x:v>Fitness – Weight Room Introduction</x:v>
      </x:c>
      <x:c r="C484" s="12" t="str">
        <x:v>Southwest Cmty Ctr</x:v>
      </x:c>
      <x:c r="D484" s="12" t="str">
        <x:v>Fitness</x:v>
      </x:c>
      <x:c r="E484" s="7" t="str">
        <x:v>undated</x:v>
      </x:c>
      <x:c r="F484" s="7" t="str">
        <x:v>2026-10-07</x:v>
      </x:c>
      <x:c r="G484" s="7" t="str"/>
      <x:c r="H484" s="7" t="n">
        <x:v>3</x:v>
      </x:c>
      <x:c r="I484" s="7"/>
      <x:c r="J484" s="7" t="n">
        <x:v>4</x:v>
      </x:c>
      <x:c r="K484" s="7" t="str">
        <x:v>unverified-denominator</x:v>
      </x:c>
      <x:c r="L484" s="7" t="d">
        <x:v>2026-09-16T05:12:38.111Z</x:v>
      </x:c>
      <x:c r="M484" s="7" t="str">
        <x:v>https://apm.activecommunities.com/portlandparks/Activity_Search/fitness-weight-room-introduction/207648?locale=en-US</x:v>
      </x:c>
    </x:row>
    <x:row r="485" ht="38" customHeight="1">
      <x:c r="A485" s="8" t="str">
        <x:v>207649</x:v>
      </x:c>
      <x:c r="B485" s="11" t="str">
        <x:v>Fitness – Weight Room Introduction</x:v>
      </x:c>
      <x:c r="C485" s="11" t="str">
        <x:v>Southwest Cmty Ctr</x:v>
      </x:c>
      <x:c r="D485" s="11" t="str">
        <x:v>Fitness</x:v>
      </x:c>
      <x:c r="E485" s="8" t="str">
        <x:v>undated</x:v>
      </x:c>
      <x:c r="F485" s="8" t="str">
        <x:v>2026-10-14</x:v>
      </x:c>
      <x:c r="G485" s="8" t="str"/>
      <x:c r="H485" s="8" t="n">
        <x:v>4</x:v>
      </x:c>
      <x:c r="I485" s="8"/>
      <x:c r="J485" s="8" t="n">
        <x:v>4</x:v>
      </x:c>
      <x:c r="K485" s="8" t="str">
        <x:v>unverified-denominator</x:v>
      </x:c>
      <x:c r="L485" s="8" t="d">
        <x:v>2026-09-16T05:12:38.111Z</x:v>
      </x:c>
      <x:c r="M485" s="8" t="str">
        <x:v>https://apm.activecommunities.com/portlandparks/Activity_Search/fitness-weight-room-introduction/207649?locale=en-US</x:v>
      </x:c>
    </x:row>
    <x:row r="486" ht="38" customHeight="1">
      <x:c r="A486" s="7" t="str">
        <x:v>207650</x:v>
      </x:c>
      <x:c r="B486" s="12" t="str">
        <x:v>Fitness – Weight Room Introduction</x:v>
      </x:c>
      <x:c r="C486" s="12" t="str">
        <x:v>Southwest Cmty Ctr</x:v>
      </x:c>
      <x:c r="D486" s="12" t="str">
        <x:v>Fitness</x:v>
      </x:c>
      <x:c r="E486" s="7" t="str">
        <x:v>undated</x:v>
      </x:c>
      <x:c r="F486" s="7" t="str">
        <x:v>2026-10-21</x:v>
      </x:c>
      <x:c r="G486" s="7" t="str"/>
      <x:c r="H486" s="7" t="n">
        <x:v>0</x:v>
      </x:c>
      <x:c r="I486" s="7"/>
      <x:c r="J486" s="7" t="n">
        <x:v>4</x:v>
      </x:c>
      <x:c r="K486" s="7" t="str">
        <x:v>unverified-denominator</x:v>
      </x:c>
      <x:c r="L486" s="7" t="d">
        <x:v>2026-09-16T05:12:38.111Z</x:v>
      </x:c>
      <x:c r="M486" s="7" t="str">
        <x:v>https://apm.activecommunities.com/portlandparks/Activity_Search/fitness-weight-room-introduction/207650?locale=en-US</x:v>
      </x:c>
    </x:row>
    <x:row r="487" ht="38" customHeight="1">
      <x:c r="A487" s="8" t="str">
        <x:v>207651</x:v>
      </x:c>
      <x:c r="B487" s="11" t="str">
        <x:v>Fitness – Weight Room Introduction</x:v>
      </x:c>
      <x:c r="C487" s="11" t="str">
        <x:v>Southwest Cmty Ctr</x:v>
      </x:c>
      <x:c r="D487" s="11" t="str">
        <x:v>Fitness</x:v>
      </x:c>
      <x:c r="E487" s="8" t="str">
        <x:v>undated</x:v>
      </x:c>
      <x:c r="F487" s="8" t="str">
        <x:v>2026-10-28</x:v>
      </x:c>
      <x:c r="G487" s="8" t="str"/>
      <x:c r="H487" s="8" t="n">
        <x:v>0</x:v>
      </x:c>
      <x:c r="I487" s="8"/>
      <x:c r="J487" s="8" t="n">
        <x:v>4</x:v>
      </x:c>
      <x:c r="K487" s="8" t="str">
        <x:v>unverified-denominator</x:v>
      </x:c>
      <x:c r="L487" s="8" t="d">
        <x:v>2026-09-16T05:12:38.111Z</x:v>
      </x:c>
      <x:c r="M487" s="8" t="str">
        <x:v>https://apm.activecommunities.com/portlandparks/Activity_Search/fitness-weight-room-introduction/207651?locale=en-US</x:v>
      </x:c>
    </x:row>
    <x:row r="488" ht="38" customHeight="1">
      <x:c r="A488" s="7" t="str">
        <x:v>207643</x:v>
      </x:c>
      <x:c r="B488" s="12" t="str">
        <x:v>Fitness – Yoga Workshop</x:v>
      </x:c>
      <x:c r="C488" s="12" t="str">
        <x:v>Southwest Cmty Ctr</x:v>
      </x:c>
      <x:c r="D488" s="12" t="str">
        <x:v>Fitness</x:v>
      </x:c>
      <x:c r="E488" s="7" t="str">
        <x:v>undated</x:v>
      </x:c>
      <x:c r="F488" s="7" t="str">
        <x:v>2026-10-03</x:v>
      </x:c>
      <x:c r="G488" s="7" t="str"/>
      <x:c r="H488" s="7" t="n">
        <x:v>4</x:v>
      </x:c>
      <x:c r="I488" s="7"/>
      <x:c r="J488" s="7" t="n">
        <x:v>20</x:v>
      </x:c>
      <x:c r="K488" s="7" t="str">
        <x:v>unverified-denominator</x:v>
      </x:c>
      <x:c r="L488" s="7" t="d">
        <x:v>2026-09-16T05:12:38.111Z</x:v>
      </x:c>
      <x:c r="M488" s="7" t="str">
        <x:v>https://apm.activecommunities.com/portlandparks/Activity_Search/fitness-yoga-workshop/207643?locale=en-US</x:v>
      </x:c>
    </x:row>
    <x:row r="489" ht="38" customHeight="1">
      <x:c r="A489" s="8" t="str">
        <x:v>208450</x:v>
      </x:c>
      <x:c r="B489" s="11" t="str">
        <x:v>Games - American Mah Jongg Lessons: All Levels</x:v>
      </x:c>
      <x:c r="C489" s="11" t="str">
        <x:v>St Johns Cmty Ctr</x:v>
      </x:c>
      <x:c r="D489" s="11" t="str">
        <x:v>Education</x:v>
      </x:c>
      <x:c r="E489" s="8" t="str">
        <x:v>future</x:v>
      </x:c>
      <x:c r="F489" s="8" t="str">
        <x:v>2026-10-01</x:v>
      </x:c>
      <x:c r="G489" s="8" t="str">
        <x:v>2026-10-29</x:v>
      </x:c>
      <x:c r="H489" s="8" t="n">
        <x:v>5</x:v>
      </x:c>
      <x:c r="I489" s="8"/>
      <x:c r="J489" s="8" t="n">
        <x:v>14</x:v>
      </x:c>
      <x:c r="K489" s="8" t="str">
        <x:v>unverified-denominator</x:v>
      </x:c>
      <x:c r="L489" s="8" t="d">
        <x:v>2026-09-16T05:12:38.111Z</x:v>
      </x:c>
      <x:c r="M489" s="8" t="str">
        <x:v>https://apm.activecommunities.com/portlandparks/Activity_Search/games---american-mah-jongg-lessons-all-levels/208450?locale=en-US</x:v>
      </x:c>
    </x:row>
    <x:row r="490" ht="38" customHeight="1">
      <x:c r="A490" s="7" t="str">
        <x:v>208451</x:v>
      </x:c>
      <x:c r="B490" s="12" t="str">
        <x:v>Games - American Mah Jongg Lessons: All Levels</x:v>
      </x:c>
      <x:c r="C490" s="12" t="str">
        <x:v>St Johns Cmty Ctr</x:v>
      </x:c>
      <x:c r="D490" s="12" t="str">
        <x:v>Education</x:v>
      </x:c>
      <x:c r="E490" s="7" t="str">
        <x:v>future</x:v>
      </x:c>
      <x:c r="F490" s="7" t="str">
        <x:v>2026-11-12</x:v>
      </x:c>
      <x:c r="G490" s="7" t="str">
        <x:v>2026-12-10</x:v>
      </x:c>
      <x:c r="H490" s="7" t="n">
        <x:v>0</x:v>
      </x:c>
      <x:c r="I490" s="7"/>
      <x:c r="J490" s="7" t="n">
        <x:v>14</x:v>
      </x:c>
      <x:c r="K490" s="7" t="str">
        <x:v>unverified-denominator</x:v>
      </x:c>
      <x:c r="L490" s="7" t="d">
        <x:v>2026-09-16T05:12:38.111Z</x:v>
      </x:c>
      <x:c r="M490" s="7" t="str">
        <x:v>https://apm.activecommunities.com/portlandparks/Activity_Search/games---american-mah-jongg-lessons-all-levels/208451?locale=en-US</x:v>
      </x:c>
    </x:row>
    <x:row r="491" ht="38" customHeight="1">
      <x:c r="A491" s="8" t="str">
        <x:v>207315</x:v>
      </x:c>
      <x:c r="B491" s="11" t="str">
        <x:v>Games - American Mah Jongg Lessons: All Levels</x:v>
      </x:c>
      <x:c r="C491" s="11" t="str">
        <x:v>Montavilla Community Center</x:v>
      </x:c>
      <x:c r="D491" s="11" t="str">
        <x:v>Education</x:v>
      </x:c>
      <x:c r="E491" s="8" t="str">
        <x:v>future</x:v>
      </x:c>
      <x:c r="F491" s="8" t="str">
        <x:v>2026-10-03</x:v>
      </x:c>
      <x:c r="G491" s="8" t="str">
        <x:v>2026-10-31</x:v>
      </x:c>
      <x:c r="H491" s="8" t="n">
        <x:v>2</x:v>
      </x:c>
      <x:c r="I491" s="8"/>
      <x:c r="J491" s="8" t="n">
        <x:v>14</x:v>
      </x:c>
      <x:c r="K491" s="8" t="str">
        <x:v>unverified-denominator</x:v>
      </x:c>
      <x:c r="L491" s="8" t="d">
        <x:v>2026-09-16T05:12:38.111Z</x:v>
      </x:c>
      <x:c r="M491" s="8" t="str">
        <x:v>https://apm.activecommunities.com/portlandparks/Activity_Search/games---american-mah-jongg-lessons-all-levels/207315?locale=en-US</x:v>
      </x:c>
    </x:row>
    <x:row r="492" ht="38" customHeight="1">
      <x:c r="A492" s="7" t="str">
        <x:v>207316</x:v>
      </x:c>
      <x:c r="B492" s="12" t="str">
        <x:v>Games - American Mah Jongg Lessons: All Levels</x:v>
      </x:c>
      <x:c r="C492" s="12" t="str">
        <x:v>Montavilla Community Center</x:v>
      </x:c>
      <x:c r="D492" s="12" t="str">
        <x:v>Education</x:v>
      </x:c>
      <x:c r="E492" s="7" t="str">
        <x:v>future</x:v>
      </x:c>
      <x:c r="F492" s="7" t="str">
        <x:v>2026-11-07</x:v>
      </x:c>
      <x:c r="G492" s="7" t="str">
        <x:v>2026-12-12</x:v>
      </x:c>
      <x:c r="H492" s="7" t="n">
        <x:v>0</x:v>
      </x:c>
      <x:c r="I492" s="7"/>
      <x:c r="J492" s="7" t="n">
        <x:v>14</x:v>
      </x:c>
      <x:c r="K492" s="7" t="str">
        <x:v>unverified-denominator</x:v>
      </x:c>
      <x:c r="L492" s="7" t="d">
        <x:v>2026-09-16T05:12:38.111Z</x:v>
      </x:c>
      <x:c r="M492" s="7" t="str">
        <x:v>https://apm.activecommunities.com/portlandparks/Activity_Search/games---american-mah-jongg-lessons-all-levels/207316?locale=en-US</x:v>
      </x:c>
    </x:row>
    <x:row r="493" ht="38" customHeight="1">
      <x:c r="A493" s="8" t="str">
        <x:v>207607</x:v>
      </x:c>
      <x:c r="B493" s="11" t="str">
        <x:v>Games - American Mah Jongg Lessons: All Levels</x:v>
      </x:c>
      <x:c r="C493" s="11" t="str">
        <x:v>Rose City Golf Club</x:v>
      </x:c>
      <x:c r="D493" s="11" t="str">
        <x:v>Education</x:v>
      </x:c>
      <x:c r="E493" s="8" t="str">
        <x:v>future</x:v>
      </x:c>
      <x:c r="F493" s="8" t="str">
        <x:v>2026-09-28</x:v>
      </x:c>
      <x:c r="G493" s="8" t="str">
        <x:v>2026-10-26</x:v>
      </x:c>
      <x:c r="H493" s="8" t="n">
        <x:v>11</x:v>
      </x:c>
      <x:c r="I493" s="8"/>
      <x:c r="J493" s="8" t="n">
        <x:v>14</x:v>
      </x:c>
      <x:c r="K493" s="8" t="str">
        <x:v>unverified-denominator</x:v>
      </x:c>
      <x:c r="L493" s="8" t="d">
        <x:v>2026-09-16T05:12:38.111Z</x:v>
      </x:c>
      <x:c r="M493" s="8" t="str">
        <x:v>https://apm.activecommunities.com/portlandparks/Activity_Search/games---american-mah-jongg-lessons-all-levels/207607?locale=en-US</x:v>
      </x:c>
    </x:row>
    <x:row r="494" ht="38" customHeight="1">
      <x:c r="A494" s="7" t="str">
        <x:v>207608</x:v>
      </x:c>
      <x:c r="B494" s="12" t="str">
        <x:v>Games - American Mah Jongg Lessons: All Levels</x:v>
      </x:c>
      <x:c r="C494" s="12" t="str">
        <x:v>Rose City Golf Club</x:v>
      </x:c>
      <x:c r="D494" s="12" t="str">
        <x:v>Education</x:v>
      </x:c>
      <x:c r="E494" s="7" t="str">
        <x:v>future</x:v>
      </x:c>
      <x:c r="F494" s="7" t="str">
        <x:v>2026-11-02</x:v>
      </x:c>
      <x:c r="G494" s="7" t="str">
        <x:v>2026-12-07</x:v>
      </x:c>
      <x:c r="H494" s="7" t="n">
        <x:v>0</x:v>
      </x:c>
      <x:c r="I494" s="7"/>
      <x:c r="J494" s="7" t="n">
        <x:v>14</x:v>
      </x:c>
      <x:c r="K494" s="7" t="str">
        <x:v>unverified-denominator</x:v>
      </x:c>
      <x:c r="L494" s="7" t="d">
        <x:v>2026-09-16T05:12:38.111Z</x:v>
      </x:c>
      <x:c r="M494" s="7" t="str">
        <x:v>https://apm.activecommunities.com/portlandparks/Activity_Search/games---american-mah-jongg-lessons-all-levels/207608?locale=en-US</x:v>
      </x:c>
    </x:row>
    <x:row r="495" ht="38" customHeight="1">
      <x:c r="A495" s="8" t="str">
        <x:v>208536</x:v>
      </x:c>
      <x:c r="B495" s="11" t="str">
        <x:v>Games - American Mah Jongg: Beginner Class</x:v>
      </x:c>
      <x:c r="C495" s="11" t="str">
        <x:v>Southwest Cmty Ctr</x:v>
      </x:c>
      <x:c r="D495" s="11" t="str">
        <x:v>Education</x:v>
      </x:c>
      <x:c r="E495" s="8" t="str">
        <x:v>future</x:v>
      </x:c>
      <x:c r="F495" s="8" t="str">
        <x:v>2026-09-29</x:v>
      </x:c>
      <x:c r="G495" s="8" t="str">
        <x:v>2026-10-27</x:v>
      </x:c>
      <x:c r="H495" s="8" t="n">
        <x:v>8</x:v>
      </x:c>
      <x:c r="I495" s="8"/>
      <x:c r="J495" s="8" t="n">
        <x:v>12</x:v>
      </x:c>
      <x:c r="K495" s="8" t="str">
        <x:v>unverified-denominator</x:v>
      </x:c>
      <x:c r="L495" s="8" t="d">
        <x:v>2026-09-16T05:12:38.111Z</x:v>
      </x:c>
      <x:c r="M495" s="8" t="str">
        <x:v>https://apm.activecommunities.com/portlandparks/Activity_Search/games---american-mah-jongg-beginner-class/208536?locale=en-US</x:v>
      </x:c>
    </x:row>
    <x:row r="496" ht="38" customHeight="1">
      <x:c r="A496" s="7" t="str">
        <x:v>208880</x:v>
      </x:c>
      <x:c r="B496" s="12" t="str">
        <x:v>Games - American Mah Jongg: Beginner Class</x:v>
      </x:c>
      <x:c r="C496" s="12" t="str">
        <x:v>Mt Scott Cmty Ctr</x:v>
      </x:c>
      <x:c r="D496" s="12" t="str">
        <x:v>Education</x:v>
      </x:c>
      <x:c r="E496" s="7" t="str">
        <x:v>future</x:v>
      </x:c>
      <x:c r="F496" s="7" t="str">
        <x:v>2026-10-20</x:v>
      </x:c>
      <x:c r="G496" s="7" t="str">
        <x:v>2026-12-01</x:v>
      </x:c>
      <x:c r="H496" s="7" t="n">
        <x:v>11</x:v>
      </x:c>
      <x:c r="I496" s="7"/>
      <x:c r="J496" s="7" t="n">
        <x:v>12</x:v>
      </x:c>
      <x:c r="K496" s="7" t="str">
        <x:v>unverified-denominator</x:v>
      </x:c>
      <x:c r="L496" s="7" t="d">
        <x:v>2026-09-16T05:12:38.111Z</x:v>
      </x:c>
      <x:c r="M496" s="7" t="str">
        <x:v>https://apm.activecommunities.com/portlandparks/Activity_Search/games---american-mah-jongg-beginner-class/208880?locale=en-US</x:v>
      </x:c>
    </x:row>
    <x:row r="497" ht="38" customHeight="1">
      <x:c r="A497" s="8" t="str">
        <x:v>209174</x:v>
      </x:c>
      <x:c r="B497" s="11" t="str">
        <x:v>Games - American Mah Jongg: Beginner Class</x:v>
      </x:c>
      <x:c r="C497" s="11" t="str">
        <x:v>Southwest Cmty Ctr</x:v>
      </x:c>
      <x:c r="D497" s="11" t="str">
        <x:v>Education</x:v>
      </x:c>
      <x:c r="E497" s="8" t="str">
        <x:v>future</x:v>
      </x:c>
      <x:c r="F497" s="8" t="str">
        <x:v>2026-11-03</x:v>
      </x:c>
      <x:c r="G497" s="8" t="str">
        <x:v>2026-12-01</x:v>
      </x:c>
      <x:c r="H497" s="8" t="n">
        <x:v>0</x:v>
      </x:c>
      <x:c r="I497" s="8"/>
      <x:c r="J497" s="8" t="n">
        <x:v>12</x:v>
      </x:c>
      <x:c r="K497" s="8" t="str">
        <x:v>unverified-denominator</x:v>
      </x:c>
      <x:c r="L497" s="8" t="d">
        <x:v>2026-09-16T05:12:38.111Z</x:v>
      </x:c>
      <x:c r="M497" s="8" t="str">
        <x:v>https://apm.activecommunities.com/portlandparks/Activity_Search/games---american-mah-jongg-beginner-class/209174?locale=en-US</x:v>
      </x:c>
    </x:row>
    <x:row r="498" ht="38" customHeight="1">
      <x:c r="A498" s="7" t="str">
        <x:v>207611</x:v>
      </x:c>
      <x:c r="B498" s="12" t="str">
        <x:v>Games - Hong Kong Style Mahjong: Beginner</x:v>
      </x:c>
      <x:c r="C498" s="12" t="str">
        <x:v>Mt Scott Community Center</x:v>
      </x:c>
      <x:c r="D498" s="12" t="str">
        <x:v>Education</x:v>
      </x:c>
      <x:c r="E498" s="7" t="str">
        <x:v>future</x:v>
      </x:c>
      <x:c r="F498" s="7" t="str">
        <x:v>2026-10-14</x:v>
      </x:c>
      <x:c r="G498" s="7" t="str">
        <x:v>2026-10-28</x:v>
      </x:c>
      <x:c r="H498" s="7" t="n">
        <x:v>10</x:v>
      </x:c>
      <x:c r="I498" s="7"/>
      <x:c r="J498" s="7" t="n">
        <x:v>14</x:v>
      </x:c>
      <x:c r="K498" s="7" t="str">
        <x:v>unverified-denominator</x:v>
      </x:c>
      <x:c r="L498" s="7" t="d">
        <x:v>2026-09-16T05:12:38.111Z</x:v>
      </x:c>
      <x:c r="M498" s="7" t="str">
        <x:v>https://apm.activecommunities.com/portlandparks/Activity_Search/games---hong-kong-style-mahjong-beginner/207611?locale=en-US</x:v>
      </x:c>
    </x:row>
    <x:row r="499" ht="38" customHeight="1">
      <x:c r="A499" s="8" t="str">
        <x:v>207612</x:v>
      </x:c>
      <x:c r="B499" s="11" t="str">
        <x:v>Games - Hong Kong Style Mahjong: Beginner</x:v>
      </x:c>
      <x:c r="C499" s="11" t="str">
        <x:v>Mt Scott Community Center</x:v>
      </x:c>
      <x:c r="D499" s="11" t="str">
        <x:v>Education</x:v>
      </x:c>
      <x:c r="E499" s="8" t="str">
        <x:v>future</x:v>
      </x:c>
      <x:c r="F499" s="8" t="str">
        <x:v>2026-11-04</x:v>
      </x:c>
      <x:c r="G499" s="8" t="str">
        <x:v>2026-12-09</x:v>
      </x:c>
      <x:c r="H499" s="8" t="n">
        <x:v>0</x:v>
      </x:c>
      <x:c r="I499" s="8"/>
      <x:c r="J499" s="8" t="n">
        <x:v>14</x:v>
      </x:c>
      <x:c r="K499" s="8" t="str">
        <x:v>unverified-denominator</x:v>
      </x:c>
      <x:c r="L499" s="8" t="d">
        <x:v>2026-09-16T05:12:38.111Z</x:v>
      </x:c>
      <x:c r="M499" s="8" t="str">
        <x:v>https://apm.activecommunities.com/portlandparks/Activity_Search/games---hong-kong-style-mahjong-beginner/207612?locale=en-US</x:v>
      </x:c>
    </x:row>
    <x:row r="500" ht="38" customHeight="1">
      <x:c r="A500" s="7" t="str">
        <x:v>208881</x:v>
      </x:c>
      <x:c r="B500" s="12" t="str">
        <x:v>Games - Mah Jongg: Beginner Guided Play</x:v>
      </x:c>
      <x:c r="C500" s="12" t="str">
        <x:v>Mt Scott Cmty Ctr</x:v>
      </x:c>
      <x:c r="D500" s="12" t="str">
        <x:v>Education</x:v>
      </x:c>
      <x:c r="E500" s="7" t="str">
        <x:v>future</x:v>
      </x:c>
      <x:c r="F500" s="7" t="str">
        <x:v>2026-10-20</x:v>
      </x:c>
      <x:c r="G500" s="7" t="str">
        <x:v>2026-12-01</x:v>
      </x:c>
      <x:c r="H500" s="7" t="n">
        <x:v>5</x:v>
      </x:c>
      <x:c r="I500" s="7"/>
      <x:c r="J500" s="7" t="n">
        <x:v>20</x:v>
      </x:c>
      <x:c r="K500" s="7" t="str">
        <x:v>unverified-denominator</x:v>
      </x:c>
      <x:c r="L500" s="7" t="d">
        <x:v>2026-09-16T05:12:38.111Z</x:v>
      </x:c>
      <x:c r="M500" s="7" t="str">
        <x:v>https://apm.activecommunities.com/portlandparks/Activity_Search/games---mah-jongg-beginner-guided-play/208881?locale=en-US</x:v>
      </x:c>
    </x:row>
    <x:row r="501" ht="38" customHeight="1">
      <x:c r="A501" s="8" t="str">
        <x:v>207613</x:v>
      </x:c>
      <x:c r="B501" s="11" t="str">
        <x:v>Games - Mah Jongg: Guided Play</x:v>
      </x:c>
      <x:c r="C501" s="11" t="str">
        <x:v>Mt Scott Community Center</x:v>
      </x:c>
      <x:c r="D501" s="11" t="str">
        <x:v>Education</x:v>
      </x:c>
      <x:c r="E501" s="8" t="str">
        <x:v>future</x:v>
      </x:c>
      <x:c r="F501" s="8" t="str">
        <x:v>2026-10-14</x:v>
      </x:c>
      <x:c r="G501" s="8" t="str">
        <x:v>2026-10-28</x:v>
      </x:c>
      <x:c r="H501" s="8" t="n">
        <x:v>7</x:v>
      </x:c>
      <x:c r="I501" s="8"/>
      <x:c r="J501" s="8" t="n">
        <x:v>16</x:v>
      </x:c>
      <x:c r="K501" s="8" t="str">
        <x:v>unverified-denominator</x:v>
      </x:c>
      <x:c r="L501" s="8" t="d">
        <x:v>2026-09-16T05:12:38.111Z</x:v>
      </x:c>
      <x:c r="M501" s="8" t="str">
        <x:v>https://apm.activecommunities.com/portlandparks/Activity_Search/games---mah-jongg-guided-play/207613?locale=en-US</x:v>
      </x:c>
    </x:row>
    <x:row r="502" ht="38" customHeight="1">
      <x:c r="A502" s="7" t="str">
        <x:v>207614</x:v>
      </x:c>
      <x:c r="B502" s="12" t="str">
        <x:v>Games - Mah Jongg: Guided Play</x:v>
      </x:c>
      <x:c r="C502" s="12" t="str">
        <x:v>Mt Scott Community Center</x:v>
      </x:c>
      <x:c r="D502" s="12" t="str">
        <x:v>Education</x:v>
      </x:c>
      <x:c r="E502" s="7" t="str">
        <x:v>future</x:v>
      </x:c>
      <x:c r="F502" s="7" t="str">
        <x:v>2026-11-04</x:v>
      </x:c>
      <x:c r="G502" s="7" t="str">
        <x:v>2026-12-09</x:v>
      </x:c>
      <x:c r="H502" s="7" t="n">
        <x:v>0</x:v>
      </x:c>
      <x:c r="I502" s="7"/>
      <x:c r="J502" s="7" t="n">
        <x:v>16</x:v>
      </x:c>
      <x:c r="K502" s="7" t="str">
        <x:v>unverified-denominator</x:v>
      </x:c>
      <x:c r="L502" s="7" t="d">
        <x:v>2026-09-16T05:12:38.111Z</x:v>
      </x:c>
      <x:c r="M502" s="7" t="str">
        <x:v>https://apm.activecommunities.com/portlandparks/Activity_Search/games---mah-jongg-guided-play/207614?locale=en-US</x:v>
      </x:c>
    </x:row>
    <x:row r="503" ht="38" customHeight="1">
      <x:c r="A503" s="8" t="str">
        <x:v>207609</x:v>
      </x:c>
      <x:c r="B503" s="11" t="str">
        <x:v>Games - Mah Jongg: Guided Play</x:v>
      </x:c>
      <x:c r="C503" s="11" t="str">
        <x:v>Rose City Golf Club</x:v>
      </x:c>
      <x:c r="D503" s="11" t="str">
        <x:v>Education</x:v>
      </x:c>
      <x:c r="E503" s="8" t="str">
        <x:v>future</x:v>
      </x:c>
      <x:c r="F503" s="8" t="str">
        <x:v>2026-09-28</x:v>
      </x:c>
      <x:c r="G503" s="8" t="str">
        <x:v>2026-10-26</x:v>
      </x:c>
      <x:c r="H503" s="8" t="n">
        <x:v>6</x:v>
      </x:c>
      <x:c r="I503" s="8"/>
      <x:c r="J503" s="8" t="n">
        <x:v>16</x:v>
      </x:c>
      <x:c r="K503" s="8" t="str">
        <x:v>unverified-denominator</x:v>
      </x:c>
      <x:c r="L503" s="8" t="d">
        <x:v>2026-09-16T05:12:38.111Z</x:v>
      </x:c>
      <x:c r="M503" s="8" t="str">
        <x:v>https://apm.activecommunities.com/portlandparks/Activity_Search/games---mah-jongg-guided-play/207609?locale=en-US</x:v>
      </x:c>
    </x:row>
    <x:row r="504" ht="38" customHeight="1">
      <x:c r="A504" s="7" t="str">
        <x:v>207610</x:v>
      </x:c>
      <x:c r="B504" s="12" t="str">
        <x:v>Games - Mah Jongg: Guided Play</x:v>
      </x:c>
      <x:c r="C504" s="12" t="str">
        <x:v>Rose City Golf Club</x:v>
      </x:c>
      <x:c r="D504" s="12" t="str">
        <x:v>Education</x:v>
      </x:c>
      <x:c r="E504" s="7" t="str">
        <x:v>future</x:v>
      </x:c>
      <x:c r="F504" s="7" t="str">
        <x:v>2026-11-02</x:v>
      </x:c>
      <x:c r="G504" s="7" t="str">
        <x:v>2026-12-07</x:v>
      </x:c>
      <x:c r="H504" s="7" t="n">
        <x:v>0</x:v>
      </x:c>
      <x:c r="I504" s="7"/>
      <x:c r="J504" s="7" t="n">
        <x:v>16</x:v>
      </x:c>
      <x:c r="K504" s="7" t="str">
        <x:v>unverified-denominator</x:v>
      </x:c>
      <x:c r="L504" s="7" t="d">
        <x:v>2026-09-16T05:12:38.111Z</x:v>
      </x:c>
      <x:c r="M504" s="7" t="str">
        <x:v>https://apm.activecommunities.com/portlandparks/Activity_Search/games---mah-jongg-guided-play/207610?locale=en-US</x:v>
      </x:c>
    </x:row>
    <x:row r="505" ht="38" customHeight="1">
      <x:c r="A505" s="8" t="str">
        <x:v>208452</x:v>
      </x:c>
      <x:c r="B505" s="11" t="str">
        <x:v>Games - Mah Jongg: Guided Play</x:v>
      </x:c>
      <x:c r="C505" s="11" t="str">
        <x:v>St Johns Cmty Ctr</x:v>
      </x:c>
      <x:c r="D505" s="11" t="str">
        <x:v>Education</x:v>
      </x:c>
      <x:c r="E505" s="8" t="str">
        <x:v>future</x:v>
      </x:c>
      <x:c r="F505" s="8" t="str">
        <x:v>2026-11-06</x:v>
      </x:c>
      <x:c r="G505" s="8" t="str">
        <x:v>2026-12-11</x:v>
      </x:c>
      <x:c r="H505" s="8" t="n">
        <x:v>0</x:v>
      </x:c>
      <x:c r="I505" s="8"/>
      <x:c r="J505" s="8" t="n">
        <x:v>14</x:v>
      </x:c>
      <x:c r="K505" s="8" t="str">
        <x:v>unverified-denominator</x:v>
      </x:c>
      <x:c r="L505" s="8" t="d">
        <x:v>2026-09-16T05:12:38.111Z</x:v>
      </x:c>
      <x:c r="M505" s="8" t="str">
        <x:v>https://apm.activecommunities.com/portlandparks/Activity_Search/games---mah-jongg-guided-play/208452?locale=en-US</x:v>
      </x:c>
    </x:row>
    <x:row r="506" ht="38" customHeight="1">
      <x:c r="A506" s="7" t="str">
        <x:v>208580</x:v>
      </x:c>
      <x:c r="B506" s="12" t="str">
        <x:v>Gymnastics - Homeschool</x:v>
      </x:c>
      <x:c r="C506" s="12" t="str">
        <x:v>Mt Scott Cmty Ctr</x:v>
      </x:c>
      <x:c r="D506" s="12" t="str">
        <x:v>Sports - Gymnastics/Tumbling/Trampoline</x:v>
      </x:c>
      <x:c r="E506" s="7" t="str">
        <x:v>active</x:v>
      </x:c>
      <x:c r="F506" s="7" t="str">
        <x:v>2026-09-01</x:v>
      </x:c>
      <x:c r="G506" s="7" t="str">
        <x:v>2026-09-22</x:v>
      </x:c>
      <x:c r="H506" s="7" t="n">
        <x:v>9</x:v>
      </x:c>
      <x:c r="I506" s="7"/>
      <x:c r="J506" s="7" t="n">
        <x:v>12</x:v>
      </x:c>
      <x:c r="K506" s="7" t="str">
        <x:v>unverified-denominator</x:v>
      </x:c>
      <x:c r="L506" s="7" t="d">
        <x:v>2026-09-16T05:12:38.111Z</x:v>
      </x:c>
      <x:c r="M506" s="7" t="str">
        <x:v>https://apm.activecommunities.com/portlandparks/Activity_Search/gymnastics---homeschool/208580?locale=en-US</x:v>
      </x:c>
    </x:row>
    <x:row r="507" ht="38" customHeight="1">
      <x:c r="A507" s="8" t="str">
        <x:v>208651</x:v>
      </x:c>
      <x:c r="B507" s="11" t="str">
        <x:v>Gymnastics - Homeschool</x:v>
      </x:c>
      <x:c r="C507" s="11" t="str">
        <x:v>Mt Scott Cmty Ctr</x:v>
      </x:c>
      <x:c r="D507" s="11" t="str">
        <x:v>Sports - Gymnastics/Tumbling/Trampoline</x:v>
      </x:c>
      <x:c r="E507" s="8" t="str">
        <x:v>future</x:v>
      </x:c>
      <x:c r="F507" s="8" t="str">
        <x:v>2026-10-20</x:v>
      </x:c>
      <x:c r="G507" s="8" t="str">
        <x:v>2026-12-01</x:v>
      </x:c>
      <x:c r="H507" s="8" t="n">
        <x:v>2</x:v>
      </x:c>
      <x:c r="I507" s="8"/>
      <x:c r="J507" s="8" t="n">
        <x:v>12</x:v>
      </x:c>
      <x:c r="K507" s="8" t="str">
        <x:v>unverified-denominator</x:v>
      </x:c>
      <x:c r="L507" s="8" t="d">
        <x:v>2026-09-16T05:12:38.111Z</x:v>
      </x:c>
      <x:c r="M507" s="8" t="str">
        <x:v>https://apm.activecommunities.com/portlandparks/Activity_Search/gymnastics---homeschool/208651?locale=en-US</x:v>
      </x:c>
    </x:row>
    <x:row r="508" ht="38" customHeight="1">
      <x:c r="A508" s="7" t="str">
        <x:v>208652</x:v>
      </x:c>
      <x:c r="B508" s="12" t="str">
        <x:v>Gymnastics - Jump Start</x:v>
      </x:c>
      <x:c r="C508" s="12" t="str">
        <x:v>Mt Scott Cmty Ctr</x:v>
      </x:c>
      <x:c r="D508" s="12" t="str">
        <x:v>Sports - Gymnastics/Tumbling/Trampoline</x:v>
      </x:c>
      <x:c r="E508" s="7" t="str">
        <x:v>future</x:v>
      </x:c>
      <x:c r="F508" s="7" t="str">
        <x:v>2026-10-20</x:v>
      </x:c>
      <x:c r="G508" s="7" t="str">
        <x:v>2026-12-01</x:v>
      </x:c>
      <x:c r="H508" s="7" t="n">
        <x:v>10</x:v>
      </x:c>
      <x:c r="I508" s="7" t="n">
        <x:v>3</x:v>
      </x:c>
      <x:c r="J508" s="7" t="n">
        <x:v>10</x:v>
      </x:c>
      <x:c r="K508" s="7" t="str">
        <x:v>unverified-denominator</x:v>
      </x:c>
      <x:c r="L508" s="7" t="d">
        <x:v>2026-09-16T05:12:38.111Z</x:v>
      </x:c>
      <x:c r="M508" s="7" t="str">
        <x:v>https://apm.activecommunities.com/portlandparks/Activity_Search/gymnastics---jump-start/208652?locale=en-US</x:v>
      </x:c>
    </x:row>
    <x:row r="509" ht="38" customHeight="1">
      <x:c r="A509" s="8" t="str">
        <x:v>208653</x:v>
      </x:c>
      <x:c r="B509" s="11" t="str">
        <x:v>Gymnastics - Jump Start</x:v>
      </x:c>
      <x:c r="C509" s="11" t="str">
        <x:v>Mt Scott Cmty Ctr</x:v>
      </x:c>
      <x:c r="D509" s="11" t="str">
        <x:v>Sports - Gymnastics/Tumbling/Trampoline</x:v>
      </x:c>
      <x:c r="E509" s="8" t="str">
        <x:v>future</x:v>
      </x:c>
      <x:c r="F509" s="8" t="str">
        <x:v>2026-10-11</x:v>
      </x:c>
      <x:c r="G509" s="8" t="str">
        <x:v>2026-11-01</x:v>
      </x:c>
      <x:c r="H509" s="8" t="n">
        <x:v>10</x:v>
      </x:c>
      <x:c r="I509" s="8" t="n">
        <x:v>15</x:v>
      </x:c>
      <x:c r="J509" s="8" t="n">
        <x:v>10</x:v>
      </x:c>
      <x:c r="K509" s="8" t="str">
        <x:v>unverified-denominator</x:v>
      </x:c>
      <x:c r="L509" s="8" t="d">
        <x:v>2026-09-16T05:12:38.111Z</x:v>
      </x:c>
      <x:c r="M509" s="8" t="str">
        <x:v>https://apm.activecommunities.com/portlandparks/Activity_Search/gymnastics---jump-start/208653?locale=en-US</x:v>
      </x:c>
    </x:row>
    <x:row r="510" ht="38" customHeight="1">
      <x:c r="A510" s="7" t="str">
        <x:v>208654</x:v>
      </x:c>
      <x:c r="B510" s="12" t="str">
        <x:v>Gymnastics - Jump Start</x:v>
      </x:c>
      <x:c r="C510" s="12" t="str">
        <x:v>Mt Scott Cmty Ctr</x:v>
      </x:c>
      <x:c r="D510" s="12" t="str">
        <x:v>Sports - Gymnastics/Tumbling/Trampoline</x:v>
      </x:c>
      <x:c r="E510" s="7" t="str">
        <x:v>future</x:v>
      </x:c>
      <x:c r="F510" s="7" t="str">
        <x:v>2026-10-20</x:v>
      </x:c>
      <x:c r="G510" s="7" t="str">
        <x:v>2026-12-01</x:v>
      </x:c>
      <x:c r="H510" s="7" t="n">
        <x:v>2</x:v>
      </x:c>
      <x:c r="I510" s="7"/>
      <x:c r="J510" s="7" t="n">
        <x:v>10</x:v>
      </x:c>
      <x:c r="K510" s="7" t="str">
        <x:v>unverified-denominator</x:v>
      </x:c>
      <x:c r="L510" s="7" t="d">
        <x:v>2026-09-16T05:12:38.111Z</x:v>
      </x:c>
      <x:c r="M510" s="7" t="str">
        <x:v>https://apm.activecommunities.com/portlandparks/Activity_Search/gymnastics---jump-start/208654?locale=en-US</x:v>
      </x:c>
    </x:row>
    <x:row r="511" ht="38" customHeight="1">
      <x:c r="A511" s="8" t="str">
        <x:v>208659</x:v>
      </x:c>
      <x:c r="B511" s="11" t="str">
        <x:v>Gymnastics - Jump Start</x:v>
      </x:c>
      <x:c r="C511" s="11" t="str">
        <x:v>Mt Scott Cmty Ctr</x:v>
      </x:c>
      <x:c r="D511" s="11" t="str">
        <x:v>Sports - Gymnastics/Tumbling/Trampoline</x:v>
      </x:c>
      <x:c r="E511" s="8" t="str">
        <x:v>future</x:v>
      </x:c>
      <x:c r="F511" s="8" t="str">
        <x:v>2026-11-08</x:v>
      </x:c>
      <x:c r="G511" s="8" t="str">
        <x:v>2026-12-13</x:v>
      </x:c>
      <x:c r="H511" s="8" t="n">
        <x:v>0</x:v>
      </x:c>
      <x:c r="I511" s="8"/>
      <x:c r="J511" s="8" t="n">
        <x:v>10</x:v>
      </x:c>
      <x:c r="K511" s="8" t="str">
        <x:v>unverified-denominator</x:v>
      </x:c>
      <x:c r="L511" s="8" t="d">
        <x:v>2026-09-16T05:12:38.111Z</x:v>
      </x:c>
      <x:c r="M511" s="8" t="str">
        <x:v>https://apm.activecommunities.com/portlandparks/Activity_Search/gymnastics---jump-start/208659?locale=en-US</x:v>
      </x:c>
    </x:row>
    <x:row r="512" ht="38" customHeight="1">
      <x:c r="A512" s="7" t="str">
        <x:v>208579</x:v>
      </x:c>
      <x:c r="B512" s="12" t="str">
        <x:v>Gymnastics - Jump Start</x:v>
      </x:c>
      <x:c r="C512" s="12" t="str">
        <x:v>Mt Scott Cmty Ctr</x:v>
      </x:c>
      <x:c r="D512" s="12" t="str">
        <x:v>Sports - Gymnastics/Tumbling/Trampoline</x:v>
      </x:c>
      <x:c r="E512" s="7" t="str">
        <x:v>active</x:v>
      </x:c>
      <x:c r="F512" s="7" t="str">
        <x:v>2026-09-01</x:v>
      </x:c>
      <x:c r="G512" s="7" t="str">
        <x:v>2026-09-22</x:v>
      </x:c>
      <x:c r="H512" s="7" t="n">
        <x:v>5</x:v>
      </x:c>
      <x:c r="I512" s="7"/>
      <x:c r="J512" s="7" t="n">
        <x:v>10</x:v>
      </x:c>
      <x:c r="K512" s="7" t="str">
        <x:v>unverified-denominator</x:v>
      </x:c>
      <x:c r="L512" s="7" t="d">
        <x:v>2026-09-16T05:12:38.111Z</x:v>
      </x:c>
      <x:c r="M512" s="7" t="str">
        <x:v>https://apm.activecommunities.com/portlandparks/Activity_Search/gymnastics---jump-start/208579?locale=en-US</x:v>
      </x:c>
    </x:row>
    <x:row r="513" ht="38" customHeight="1">
      <x:c r="A513" s="8" t="str">
        <x:v>208569</x:v>
      </x:c>
      <x:c r="B513" s="11" t="str">
        <x:v>Gymnastics - Jump Start</x:v>
      </x:c>
      <x:c r="C513" s="11" t="str">
        <x:v>Mt Scott Cmty Ctr</x:v>
      </x:c>
      <x:c r="D513" s="11" t="str">
        <x:v>Sports - Gymnastics/Tumbling/Trampoline</x:v>
      </x:c>
      <x:c r="E513" s="8" t="str">
        <x:v>active</x:v>
      </x:c>
      <x:c r="F513" s="8" t="str">
        <x:v>2026-09-01</x:v>
      </x:c>
      <x:c r="G513" s="8" t="str">
        <x:v>2026-09-22</x:v>
      </x:c>
      <x:c r="H513" s="8" t="n">
        <x:v>9</x:v>
      </x:c>
      <x:c r="I513" s="8" t="n">
        <x:v>2</x:v>
      </x:c>
      <x:c r="J513" s="8" t="n">
        <x:v>10</x:v>
      </x:c>
      <x:c r="K513" s="8" t="str">
        <x:v>unverified-denominator</x:v>
      </x:c>
      <x:c r="L513" s="8" t="d">
        <x:v>2026-09-16T05:12:38.111Z</x:v>
      </x:c>
      <x:c r="M513" s="8" t="str">
        <x:v>https://apm.activecommunities.com/portlandparks/Activity_Search/gymnastics---jump-start/208569?locale=en-US</x:v>
      </x:c>
    </x:row>
    <x:row r="514" ht="38" customHeight="1">
      <x:c r="A514" s="7" t="str">
        <x:v>208570</x:v>
      </x:c>
      <x:c r="B514" s="12" t="str">
        <x:v>Gymnastics - Jump Start</x:v>
      </x:c>
      <x:c r="C514" s="12" t="str">
        <x:v>Mt Scott Cmty Ctr</x:v>
      </x:c>
      <x:c r="D514" s="12" t="str">
        <x:v>Sports - Gymnastics/Tumbling/Trampoline</x:v>
      </x:c>
      <x:c r="E514" s="7" t="str">
        <x:v>active</x:v>
      </x:c>
      <x:c r="F514" s="7" t="str">
        <x:v>2026-09-06</x:v>
      </x:c>
      <x:c r="G514" s="7" t="str">
        <x:v>2026-09-27</x:v>
      </x:c>
      <x:c r="H514" s="7" t="n">
        <x:v>10</x:v>
      </x:c>
      <x:c r="I514" s="7" t="n">
        <x:v>9</x:v>
      </x:c>
      <x:c r="J514" s="7" t="n">
        <x:v>10</x:v>
      </x:c>
      <x:c r="K514" s="7" t="str">
        <x:v>unverified-denominator</x:v>
      </x:c>
      <x:c r="L514" s="7" t="d">
        <x:v>2026-09-16T05:12:38.111Z</x:v>
      </x:c>
      <x:c r="M514" s="7" t="str">
        <x:v>https://apm.activecommunities.com/portlandparks/Activity_Search/gymnastics---jump-start/208570?locale=en-US</x:v>
      </x:c>
    </x:row>
    <x:row r="515" ht="38" customHeight="1">
      <x:c r="A515" s="8" t="str">
        <x:v>208571</x:v>
      </x:c>
      <x:c r="B515" s="11" t="str">
        <x:v>Gymnastics - Level 1</x:v>
      </x:c>
      <x:c r="C515" s="11" t="str">
        <x:v>Mt Scott Cmty Ctr</x:v>
      </x:c>
      <x:c r="D515" s="11" t="str">
        <x:v>Sports - Gymnastics/Tumbling/Trampoline</x:v>
      </x:c>
      <x:c r="E515" s="8" t="str">
        <x:v>active</x:v>
      </x:c>
      <x:c r="F515" s="8" t="str">
        <x:v>2026-09-06</x:v>
      </x:c>
      <x:c r="G515" s="8" t="str">
        <x:v>2026-09-27</x:v>
      </x:c>
      <x:c r="H515" s="8" t="n">
        <x:v>11</x:v>
      </x:c>
      <x:c r="I515" s="8" t="n">
        <x:v>5</x:v>
      </x:c>
      <x:c r="J515" s="8" t="n">
        <x:v>12</x:v>
      </x:c>
      <x:c r="K515" s="8" t="str">
        <x:v>unverified-denominator</x:v>
      </x:c>
      <x:c r="L515" s="8" t="d">
        <x:v>2026-09-16T05:12:38.111Z</x:v>
      </x:c>
      <x:c r="M515" s="8" t="str">
        <x:v>https://apm.activecommunities.com/portlandparks/Activity_Search/gymnastics---level-1/208571?locale=en-US</x:v>
      </x:c>
    </x:row>
    <x:row r="516" ht="38" customHeight="1">
      <x:c r="A516" s="7" t="str">
        <x:v>208660</x:v>
      </x:c>
      <x:c r="B516" s="12" t="str">
        <x:v>Gymnastics - Level 1</x:v>
      </x:c>
      <x:c r="C516" s="12" t="str">
        <x:v>Mt Scott Cmty Ctr</x:v>
      </x:c>
      <x:c r="D516" s="12" t="str">
        <x:v>Sports - Gymnastics/Tumbling/Trampoline</x:v>
      </x:c>
      <x:c r="E516" s="7" t="str">
        <x:v>future</x:v>
      </x:c>
      <x:c r="F516" s="7" t="str">
        <x:v>2026-11-08</x:v>
      </x:c>
      <x:c r="G516" s="7" t="str">
        <x:v>2026-12-13</x:v>
      </x:c>
      <x:c r="H516" s="7" t="n">
        <x:v>0</x:v>
      </x:c>
      <x:c r="I516" s="7"/>
      <x:c r="J516" s="7" t="n">
        <x:v>12</x:v>
      </x:c>
      <x:c r="K516" s="7" t="str">
        <x:v>unverified-denominator</x:v>
      </x:c>
      <x:c r="L516" s="7" t="d">
        <x:v>2026-09-16T05:12:38.111Z</x:v>
      </x:c>
      <x:c r="M516" s="7" t="str">
        <x:v>https://apm.activecommunities.com/portlandparks/Activity_Search/gymnastics---level-1/208660?locale=en-US</x:v>
      </x:c>
    </x:row>
    <x:row r="517" ht="38" customHeight="1">
      <x:c r="A517" s="8" t="str">
        <x:v>208661</x:v>
      </x:c>
      <x:c r="B517" s="11" t="str">
        <x:v>Gymnastics - Level 1</x:v>
      </x:c>
      <x:c r="C517" s="11" t="str">
        <x:v>Mt Scott Cmty Ctr</x:v>
      </x:c>
      <x:c r="D517" s="11" t="str">
        <x:v>Sports - Gymnastics/Tumbling/Trampoline</x:v>
      </x:c>
      <x:c r="E517" s="8" t="str">
        <x:v>future</x:v>
      </x:c>
      <x:c r="F517" s="8" t="str">
        <x:v>2026-11-02</x:v>
      </x:c>
      <x:c r="G517" s="8" t="str">
        <x:v>2026-12-07</x:v>
      </x:c>
      <x:c r="H517" s="8" t="n">
        <x:v>0</x:v>
      </x:c>
      <x:c r="I517" s="8"/>
      <x:c r="J517" s="8" t="n">
        <x:v>12</x:v>
      </x:c>
      <x:c r="K517" s="8" t="str">
        <x:v>unverified-denominator</x:v>
      </x:c>
      <x:c r="L517" s="8" t="d">
        <x:v>2026-09-16T05:12:38.111Z</x:v>
      </x:c>
      <x:c r="M517" s="8" t="str">
        <x:v>https://apm.activecommunities.com/portlandparks/Activity_Search/gymnastics---level-1/208661?locale=en-US</x:v>
      </x:c>
    </x:row>
    <x:row r="518" ht="38" customHeight="1">
      <x:c r="A518" s="7" t="str">
        <x:v>208655</x:v>
      </x:c>
      <x:c r="B518" s="12" t="str">
        <x:v>Gymnastics - Level 1</x:v>
      </x:c>
      <x:c r="C518" s="12" t="str">
        <x:v>Mt Scott Cmty Ctr</x:v>
      </x:c>
      <x:c r="D518" s="12" t="str">
        <x:v>Sports - Gymnastics/Tumbling/Trampoline</x:v>
      </x:c>
      <x:c r="E518" s="7" t="str">
        <x:v>future</x:v>
      </x:c>
      <x:c r="F518" s="7" t="str">
        <x:v>2026-10-11</x:v>
      </x:c>
      <x:c r="G518" s="7" t="str">
        <x:v>2026-11-01</x:v>
      </x:c>
      <x:c r="H518" s="7" t="n">
        <x:v>11</x:v>
      </x:c>
      <x:c r="I518" s="7" t="n">
        <x:v>6</x:v>
      </x:c>
      <x:c r="J518" s="7" t="n">
        <x:v>12</x:v>
      </x:c>
      <x:c r="K518" s="7" t="str">
        <x:v>unverified-denominator</x:v>
      </x:c>
      <x:c r="L518" s="7" t="d">
        <x:v>2026-09-16T05:12:38.111Z</x:v>
      </x:c>
      <x:c r="M518" s="7" t="str">
        <x:v>https://apm.activecommunities.com/portlandparks/Activity_Search/gymnastics---level-1/208655?locale=en-US</x:v>
      </x:c>
    </x:row>
    <x:row r="519" ht="38" customHeight="1">
      <x:c r="A519" s="8" t="str">
        <x:v>208656</x:v>
      </x:c>
      <x:c r="B519" s="11" t="str">
        <x:v>Gymnastics - Level 1</x:v>
      </x:c>
      <x:c r="C519" s="11" t="str">
        <x:v>Mt Scott Cmty Ctr</x:v>
      </x:c>
      <x:c r="D519" s="11" t="str">
        <x:v>Sports - Gymnastics/Tumbling/Trampoline</x:v>
      </x:c>
      <x:c r="E519" s="8" t="str">
        <x:v>future</x:v>
      </x:c>
      <x:c r="F519" s="8" t="str">
        <x:v>2026-10-12</x:v>
      </x:c>
      <x:c r="G519" s="8" t="str">
        <x:v>2026-10-26</x:v>
      </x:c>
      <x:c r="H519" s="8" t="n">
        <x:v>9</x:v>
      </x:c>
      <x:c r="I519" s="8"/>
      <x:c r="J519" s="8" t="n">
        <x:v>12</x:v>
      </x:c>
      <x:c r="K519" s="8" t="str">
        <x:v>unverified-denominator</x:v>
      </x:c>
      <x:c r="L519" s="8" t="d">
        <x:v>2026-09-16T05:12:38.111Z</x:v>
      </x:c>
      <x:c r="M519" s="8" t="str">
        <x:v>https://apm.activecommunities.com/portlandparks/Activity_Search/gymnastics---level-1/208656?locale=en-US</x:v>
      </x:c>
    </x:row>
    <x:row r="520" ht="38" customHeight="1">
      <x:c r="A520" s="7" t="str">
        <x:v>208649</x:v>
      </x:c>
      <x:c r="B520" s="12" t="str">
        <x:v>Gymnastics - Level 1</x:v>
      </x:c>
      <x:c r="C520" s="12" t="str">
        <x:v>Mt Scott Cmty Ctr</x:v>
      </x:c>
      <x:c r="D520" s="12" t="str">
        <x:v>Sports - Gymnastics/Tumbling/Trampoline</x:v>
      </x:c>
      <x:c r="E520" s="7" t="str">
        <x:v>active</x:v>
      </x:c>
      <x:c r="F520" s="7" t="str">
        <x:v>2026-08-31</x:v>
      </x:c>
      <x:c r="G520" s="7" t="str">
        <x:v>2026-09-21</x:v>
      </x:c>
      <x:c r="H520" s="7" t="n">
        <x:v>12</x:v>
      </x:c>
      <x:c r="I520" s="7"/>
      <x:c r="J520" s="7" t="n">
        <x:v>12</x:v>
      </x:c>
      <x:c r="K520" s="7" t="str">
        <x:v>unverified-denominator</x:v>
      </x:c>
      <x:c r="L520" s="7" t="d">
        <x:v>2026-09-16T05:12:38.111Z</x:v>
      </x:c>
      <x:c r="M520" s="7" t="str">
        <x:v>https://apm.activecommunities.com/portlandparks/Activity_Search/gymnastics---level-1/208649?locale=en-US</x:v>
      </x:c>
    </x:row>
    <x:row r="521" ht="38" customHeight="1">
      <x:c r="A521" s="8" t="str">
        <x:v>207800</x:v>
      </x:c>
      <x:c r="B521" s="11" t="str">
        <x:v>Gymnastics - Level 1</x:v>
      </x:c>
      <x:c r="C521" s="11" t="str">
        <x:v>East Portland Cmty Ctr</x:v>
      </x:c>
      <x:c r="D521" s="11" t="str">
        <x:v>Sports - Gymnastics/Tumbling/Trampoline</x:v>
      </x:c>
      <x:c r="E521" s="8" t="str">
        <x:v>future</x:v>
      </x:c>
      <x:c r="F521" s="8" t="str">
        <x:v>2026-10-03</x:v>
      </x:c>
      <x:c r="G521" s="8" t="str">
        <x:v>2026-12-12</x:v>
      </x:c>
      <x:c r="H521" s="8" t="n">
        <x:v>9</x:v>
      </x:c>
      <x:c r="I521" s="8"/>
      <x:c r="J521" s="8" t="n">
        <x:v>12</x:v>
      </x:c>
      <x:c r="K521" s="8" t="str">
        <x:v>unverified-denominator</x:v>
      </x:c>
      <x:c r="L521" s="8" t="d">
        <x:v>2026-09-16T05:12:38.111Z</x:v>
      </x:c>
      <x:c r="M521" s="8" t="str">
        <x:v>https://apm.activecommunities.com/portlandparks/Activity_Search/gymnastics---level-1/207800?locale=en-US</x:v>
      </x:c>
    </x:row>
    <x:row r="522" ht="38" customHeight="1">
      <x:c r="A522" s="7" t="str">
        <x:v>207802</x:v>
      </x:c>
      <x:c r="B522" s="12" t="str">
        <x:v>Gymnastics - Level 2</x:v>
      </x:c>
      <x:c r="C522" s="12" t="str">
        <x:v>East Portland Cmty Ctr</x:v>
      </x:c>
      <x:c r="D522" s="12" t="str">
        <x:v>Sports - Gymnastics/Tumbling/Trampoline</x:v>
      </x:c>
      <x:c r="E522" s="7" t="str">
        <x:v>future</x:v>
      </x:c>
      <x:c r="F522" s="7" t="str">
        <x:v>2026-10-03</x:v>
      </x:c>
      <x:c r="G522" s="7" t="str">
        <x:v>2026-12-12</x:v>
      </x:c>
      <x:c r="H522" s="7" t="n">
        <x:v>0</x:v>
      </x:c>
      <x:c r="I522" s="7"/>
      <x:c r="J522" s="7" t="n">
        <x:v>12</x:v>
      </x:c>
      <x:c r="K522" s="7" t="str">
        <x:v>unverified-denominator</x:v>
      </x:c>
      <x:c r="L522" s="7" t="d">
        <x:v>2026-09-16T05:12:38.111Z</x:v>
      </x:c>
      <x:c r="M522" s="7" t="str">
        <x:v>https://apm.activecommunities.com/portlandparks/Activity_Search/gymnastics---level-2/207802?locale=en-US</x:v>
      </x:c>
    </x:row>
    <x:row r="523" ht="38" customHeight="1">
      <x:c r="A523" s="8" t="str">
        <x:v>208657</x:v>
      </x:c>
      <x:c r="B523" s="11" t="str">
        <x:v>Gymnastics - Level 2</x:v>
      </x:c>
      <x:c r="C523" s="11" t="str">
        <x:v>Mt Scott Cmty Ctr</x:v>
      </x:c>
      <x:c r="D523" s="11" t="str">
        <x:v>Sports - Gymnastics/Tumbling/Trampoline</x:v>
      </x:c>
      <x:c r="E523" s="8" t="str">
        <x:v>future</x:v>
      </x:c>
      <x:c r="F523" s="8" t="str">
        <x:v>2026-10-11</x:v>
      </x:c>
      <x:c r="G523" s="8" t="str">
        <x:v>2026-11-01</x:v>
      </x:c>
      <x:c r="H523" s="8" t="n">
        <x:v>5</x:v>
      </x:c>
      <x:c r="I523" s="8"/>
      <x:c r="J523" s="8" t="n">
        <x:v>12</x:v>
      </x:c>
      <x:c r="K523" s="8" t="str">
        <x:v>unverified-denominator</x:v>
      </x:c>
      <x:c r="L523" s="8" t="d">
        <x:v>2026-09-16T05:12:38.111Z</x:v>
      </x:c>
      <x:c r="M523" s="8" t="str">
        <x:v>https://apm.activecommunities.com/portlandparks/Activity_Search/gymnastics---level-2/208657?locale=en-US</x:v>
      </x:c>
    </x:row>
    <x:row r="524" ht="38" customHeight="1">
      <x:c r="A524" s="7" t="str">
        <x:v>208658</x:v>
      </x:c>
      <x:c r="B524" s="12" t="str">
        <x:v>Gymnastics - Level 2</x:v>
      </x:c>
      <x:c r="C524" s="12" t="str">
        <x:v>Mt Scott Cmty Ctr</x:v>
      </x:c>
      <x:c r="D524" s="12" t="str">
        <x:v>Sports - Gymnastics/Tumbling/Trampoline</x:v>
      </x:c>
      <x:c r="E524" s="7" t="str">
        <x:v>future</x:v>
      </x:c>
      <x:c r="F524" s="7" t="str">
        <x:v>2026-10-12</x:v>
      </x:c>
      <x:c r="G524" s="7" t="str">
        <x:v>2026-10-26</x:v>
      </x:c>
      <x:c r="H524" s="7" t="n">
        <x:v>1</x:v>
      </x:c>
      <x:c r="I524" s="7" t="n">
        <x:v>1</x:v>
      </x:c>
      <x:c r="J524" s="7" t="n">
        <x:v>12</x:v>
      </x:c>
      <x:c r="K524" s="7" t="str">
        <x:v>unverified-denominator</x:v>
      </x:c>
      <x:c r="L524" s="7" t="d">
        <x:v>2026-09-16T05:12:38.111Z</x:v>
      </x:c>
      <x:c r="M524" s="7" t="str">
        <x:v>https://apm.activecommunities.com/portlandparks/Activity_Search/gymnastics---level-2/208658?locale=en-US</x:v>
      </x:c>
    </x:row>
    <x:row r="525" ht="38" customHeight="1">
      <x:c r="A525" s="8" t="str">
        <x:v>208662</x:v>
      </x:c>
      <x:c r="B525" s="11" t="str">
        <x:v>Gymnastics - Level 2</x:v>
      </x:c>
      <x:c r="C525" s="11" t="str">
        <x:v>Mt Scott Cmty Ctr</x:v>
      </x:c>
      <x:c r="D525" s="11" t="str">
        <x:v>Sports - Gymnastics/Tumbling/Trampoline</x:v>
      </x:c>
      <x:c r="E525" s="8" t="str">
        <x:v>future</x:v>
      </x:c>
      <x:c r="F525" s="8" t="str">
        <x:v>2026-11-08</x:v>
      </x:c>
      <x:c r="G525" s="8" t="str">
        <x:v>2026-12-13</x:v>
      </x:c>
      <x:c r="H525" s="8" t="n">
        <x:v>0</x:v>
      </x:c>
      <x:c r="I525" s="8"/>
      <x:c r="J525" s="8" t="n">
        <x:v>12</x:v>
      </x:c>
      <x:c r="K525" s="8" t="str">
        <x:v>unverified-denominator</x:v>
      </x:c>
      <x:c r="L525" s="8" t="d">
        <x:v>2026-09-16T05:12:38.111Z</x:v>
      </x:c>
      <x:c r="M525" s="8" t="str">
        <x:v>https://apm.activecommunities.com/portlandparks/Activity_Search/gymnastics---level-2/208662?locale=en-US</x:v>
      </x:c>
    </x:row>
    <x:row r="526" ht="38" customHeight="1">
      <x:c r="A526" s="7" t="str">
        <x:v>208663</x:v>
      </x:c>
      <x:c r="B526" s="12" t="str">
        <x:v>Gymnastics - Level 2</x:v>
      </x:c>
      <x:c r="C526" s="12" t="str">
        <x:v>Mt Scott Cmty Ctr</x:v>
      </x:c>
      <x:c r="D526" s="12" t="str">
        <x:v>Sports - Gymnastics/Tumbling/Trampoline</x:v>
      </x:c>
      <x:c r="E526" s="7" t="str">
        <x:v>future</x:v>
      </x:c>
      <x:c r="F526" s="7" t="str">
        <x:v>2026-11-02</x:v>
      </x:c>
      <x:c r="G526" s="7" t="str">
        <x:v>2026-12-07</x:v>
      </x:c>
      <x:c r="H526" s="7" t="n">
        <x:v>0</x:v>
      </x:c>
      <x:c r="I526" s="7"/>
      <x:c r="J526" s="7" t="n">
        <x:v>12</x:v>
      </x:c>
      <x:c r="K526" s="7" t="str">
        <x:v>unverified-denominator</x:v>
      </x:c>
      <x:c r="L526" s="7" t="d">
        <x:v>2026-09-16T05:12:38.111Z</x:v>
      </x:c>
      <x:c r="M526" s="7" t="str">
        <x:v>https://apm.activecommunities.com/portlandparks/Activity_Search/gymnastics---level-2/208663?locale=en-US</x:v>
      </x:c>
    </x:row>
    <x:row r="527" ht="38" customHeight="1">
      <x:c r="A527" s="8" t="str">
        <x:v>208572</x:v>
      </x:c>
      <x:c r="B527" s="11" t="str">
        <x:v>Gymnastics - Level 2</x:v>
      </x:c>
      <x:c r="C527" s="11" t="str">
        <x:v>Mt Scott Cmty Ctr</x:v>
      </x:c>
      <x:c r="D527" s="11" t="str">
        <x:v>Sports - Gymnastics/Tumbling/Trampoline</x:v>
      </x:c>
      <x:c r="E527" s="8" t="str">
        <x:v>active</x:v>
      </x:c>
      <x:c r="F527" s="8" t="str">
        <x:v>2026-09-06</x:v>
      </x:c>
      <x:c r="G527" s="8" t="str">
        <x:v>2026-09-27</x:v>
      </x:c>
      <x:c r="H527" s="8" t="n">
        <x:v>7</x:v>
      </x:c>
      <x:c r="I527" s="8"/>
      <x:c r="J527" s="8" t="n">
        <x:v>12</x:v>
      </x:c>
      <x:c r="K527" s="8" t="str">
        <x:v>unverified-denominator</x:v>
      </x:c>
      <x:c r="L527" s="8" t="d">
        <x:v>2026-09-16T05:12:38.111Z</x:v>
      </x:c>
      <x:c r="M527" s="8" t="str">
        <x:v>https://apm.activecommunities.com/portlandparks/Activity_Search/gymnastics---level-2/208572?locale=en-US</x:v>
      </x:c>
    </x:row>
    <x:row r="528" ht="38" customHeight="1">
      <x:c r="A528" s="7" t="str">
        <x:v>208415</x:v>
      </x:c>
      <x:c r="B528" s="12" t="str">
        <x:v>Gymnastics - Level 2</x:v>
      </x:c>
      <x:c r="C528" s="12" t="str">
        <x:v>Southwest Cmty Ctr</x:v>
      </x:c>
      <x:c r="D528" s="12" t="str">
        <x:v>Sports - Gymnastics/Tumbling/Trampoline</x:v>
      </x:c>
      <x:c r="E528" s="7" t="str">
        <x:v>future</x:v>
      </x:c>
      <x:c r="F528" s="7" t="str">
        <x:v>2026-11-12</x:v>
      </x:c>
      <x:c r="G528" s="7" t="str">
        <x:v>2026-12-10</x:v>
      </x:c>
      <x:c r="H528" s="7" t="n">
        <x:v>0</x:v>
      </x:c>
      <x:c r="I528" s="7"/>
      <x:c r="J528" s="7" t="n">
        <x:v>12</x:v>
      </x:c>
      <x:c r="K528" s="7" t="str">
        <x:v>unverified-denominator</x:v>
      </x:c>
      <x:c r="L528" s="7" t="d">
        <x:v>2026-09-16T05:12:38.111Z</x:v>
      </x:c>
      <x:c r="M528" s="7" t="str">
        <x:v>https://apm.activecommunities.com/portlandparks/Activity_Search/gymnastics---level-2/208415?locale=en-US</x:v>
      </x:c>
    </x:row>
    <x:row r="529" ht="38" customHeight="1">
      <x:c r="A529" s="8" t="str">
        <x:v>208416</x:v>
      </x:c>
      <x:c r="B529" s="11" t="str">
        <x:v>Gymnastics - Level I</x:v>
      </x:c>
      <x:c r="C529" s="11" t="str">
        <x:v>Southwest Cmty Ctr</x:v>
      </x:c>
      <x:c r="D529" s="11" t="str">
        <x:v>Sports - Gymnastics/Tumbling/Trampoline</x:v>
      </x:c>
      <x:c r="E529" s="8" t="str">
        <x:v>future</x:v>
      </x:c>
      <x:c r="F529" s="8" t="str">
        <x:v>2026-11-12</x:v>
      </x:c>
      <x:c r="G529" s="8" t="str">
        <x:v>2026-12-10</x:v>
      </x:c>
      <x:c r="H529" s="8" t="n">
        <x:v>0</x:v>
      </x:c>
      <x:c r="I529" s="8"/>
      <x:c r="J529" s="8" t="n">
        <x:v>12</x:v>
      </x:c>
      <x:c r="K529" s="8" t="str">
        <x:v>unverified-denominator</x:v>
      </x:c>
      <x:c r="L529" s="8" t="d">
        <x:v>2026-09-16T05:12:38.111Z</x:v>
      </x:c>
      <x:c r="M529" s="8" t="str">
        <x:v>https://apm.activecommunities.com/portlandparks/Activity_Search/gymnastics---level-i/208416?locale=en-US</x:v>
      </x:c>
    </x:row>
    <x:row r="530" ht="38" customHeight="1">
      <x:c r="A530" s="7" t="str">
        <x:v>208413</x:v>
      </x:c>
      <x:c r="B530" s="12" t="str">
        <x:v>Gymnastics - Level I</x:v>
      </x:c>
      <x:c r="C530" s="12" t="str">
        <x:v>Southwest Cmty Ctr</x:v>
      </x:c>
      <x:c r="D530" s="12" t="str">
        <x:v>Sports - Gymnastics/Tumbling/Trampoline</x:v>
      </x:c>
      <x:c r="E530" s="7" t="str">
        <x:v>future</x:v>
      </x:c>
      <x:c r="F530" s="7" t="str">
        <x:v>2026-11-03</x:v>
      </x:c>
      <x:c r="G530" s="7" t="str">
        <x:v>2026-12-01</x:v>
      </x:c>
      <x:c r="H530" s="7" t="n">
        <x:v>0</x:v>
      </x:c>
      <x:c r="I530" s="7"/>
      <x:c r="J530" s="7" t="n">
        <x:v>12</x:v>
      </x:c>
      <x:c r="K530" s="7" t="str">
        <x:v>unverified-denominator</x:v>
      </x:c>
      <x:c r="L530" s="7" t="d">
        <x:v>2026-09-16T05:12:38.111Z</x:v>
      </x:c>
      <x:c r="M530" s="7" t="str">
        <x:v>https://apm.activecommunities.com/portlandparks/Activity_Search/gymnastics---level-i/208413?locale=en-US</x:v>
      </x:c>
    </x:row>
    <x:row r="531" ht="38" customHeight="1">
      <x:c r="A531" s="8" t="str">
        <x:v>208414</x:v>
      </x:c>
      <x:c r="B531" s="11" t="str">
        <x:v>Gymnastics - Level I</x:v>
      </x:c>
      <x:c r="C531" s="11" t="str">
        <x:v>Southwest Cmty Ctr</x:v>
      </x:c>
      <x:c r="D531" s="11" t="str">
        <x:v>Sports - Gymnastics/Tumbling/Trampoline</x:v>
      </x:c>
      <x:c r="E531" s="8" t="str">
        <x:v>future</x:v>
      </x:c>
      <x:c r="F531" s="8" t="str">
        <x:v>2026-11-12</x:v>
      </x:c>
      <x:c r="G531" s="8" t="str">
        <x:v>2026-12-10</x:v>
      </x:c>
      <x:c r="H531" s="8" t="n">
        <x:v>0</x:v>
      </x:c>
      <x:c r="I531" s="8"/>
      <x:c r="J531" s="8" t="n">
        <x:v>12</x:v>
      </x:c>
      <x:c r="K531" s="8" t="str">
        <x:v>unverified-denominator</x:v>
      </x:c>
      <x:c r="L531" s="8" t="d">
        <x:v>2026-09-16T05:12:38.111Z</x:v>
      </x:c>
      <x:c r="M531" s="8" t="str">
        <x:v>https://apm.activecommunities.com/portlandparks/Activity_Search/gymnastics---level-i/208414?locale=en-US</x:v>
      </x:c>
    </x:row>
    <x:row r="532" ht="38" customHeight="1">
      <x:c r="A532" s="7" t="str">
        <x:v>208410</x:v>
      </x:c>
      <x:c r="B532" s="12" t="str">
        <x:v>Gymnastics - Preschool</x:v>
      </x:c>
      <x:c r="C532" s="12" t="str">
        <x:v>Southwest Cmty Ctr</x:v>
      </x:c>
      <x:c r="D532" s="12" t="str">
        <x:v>Sports - Gymnastics/Tumbling/Trampoline</x:v>
      </x:c>
      <x:c r="E532" s="7" t="str">
        <x:v>future</x:v>
      </x:c>
      <x:c r="F532" s="7" t="str">
        <x:v>2026-11-03</x:v>
      </x:c>
      <x:c r="G532" s="7" t="str">
        <x:v>2026-12-01</x:v>
      </x:c>
      <x:c r="H532" s="7" t="n">
        <x:v>0</x:v>
      </x:c>
      <x:c r="I532" s="7"/>
      <x:c r="J532" s="7" t="n">
        <x:v>10</x:v>
      </x:c>
      <x:c r="K532" s="7" t="str">
        <x:v>unverified-denominator</x:v>
      </x:c>
      <x:c r="L532" s="7" t="d">
        <x:v>2026-09-16T05:12:38.111Z</x:v>
      </x:c>
      <x:c r="M532" s="7" t="str">
        <x:v>https://apm.activecommunities.com/portlandparks/Activity_Search/gymnastics---preschool/208410?locale=en-US</x:v>
      </x:c>
    </x:row>
    <x:row r="533" ht="38" customHeight="1">
      <x:c r="A533" s="8" t="str">
        <x:v>208411</x:v>
      </x:c>
      <x:c r="B533" s="11" t="str">
        <x:v>Gymnastics - Preschool</x:v>
      </x:c>
      <x:c r="C533" s="11" t="str">
        <x:v>Southwest Cmty Ctr</x:v>
      </x:c>
      <x:c r="D533" s="11" t="str">
        <x:v>Sports - Gymnastics/Tumbling/Trampoline</x:v>
      </x:c>
      <x:c r="E533" s="8" t="str">
        <x:v>future</x:v>
      </x:c>
      <x:c r="F533" s="8" t="str">
        <x:v>2026-11-12</x:v>
      </x:c>
      <x:c r="G533" s="8" t="str">
        <x:v>2026-12-10</x:v>
      </x:c>
      <x:c r="H533" s="8" t="n">
        <x:v>0</x:v>
      </x:c>
      <x:c r="I533" s="8"/>
      <x:c r="J533" s="8" t="n">
        <x:v>10</x:v>
      </x:c>
      <x:c r="K533" s="8" t="str">
        <x:v>unverified-denominator</x:v>
      </x:c>
      <x:c r="L533" s="8" t="d">
        <x:v>2026-09-16T05:12:38.111Z</x:v>
      </x:c>
      <x:c r="M533" s="8" t="str">
        <x:v>https://apm.activecommunities.com/portlandparks/Activity_Search/gymnastics---preschool/208411?locale=en-US</x:v>
      </x:c>
    </x:row>
    <x:row r="534" ht="38" customHeight="1">
      <x:c r="A534" s="7" t="str">
        <x:v>201967</x:v>
      </x:c>
      <x:c r="B534" s="12" t="str">
        <x:v>Gymnastics - Preschool</x:v>
      </x:c>
      <x:c r="C534" s="12" t="str">
        <x:v>Peninsula Park Cmty Ctr</x:v>
      </x:c>
      <x:c r="D534" s="12" t="str">
        <x:v>Sports - Gymnastics/Tumbling/Trampoline</x:v>
      </x:c>
      <x:c r="E534" s="7" t="str">
        <x:v>active</x:v>
      </x:c>
      <x:c r="F534" s="7" t="str">
        <x:v>2026-08-31</x:v>
      </x:c>
      <x:c r="G534" s="7" t="str">
        <x:v>2026-09-21</x:v>
      </x:c>
      <x:c r="H534" s="7" t="n">
        <x:v>6</x:v>
      </x:c>
      <x:c r="I534" s="7" t="n">
        <x:v>3</x:v>
      </x:c>
      <x:c r="J534" s="7" t="n">
        <x:v>8</x:v>
      </x:c>
      <x:c r="K534" s="7" t="str">
        <x:v>unverified-denominator</x:v>
      </x:c>
      <x:c r="L534" s="7" t="d">
        <x:v>2026-09-16T05:12:38.111Z</x:v>
      </x:c>
      <x:c r="M534" s="7" t="str">
        <x:v>https://apm.activecommunities.com/portlandparks/Activity_Search/gymnastics---preschool/201967?locale=en-US</x:v>
      </x:c>
    </x:row>
    <x:row r="535" ht="38" customHeight="1">
      <x:c r="A535" s="8" t="str">
        <x:v>201946</x:v>
      </x:c>
      <x:c r="B535" s="11" t="str">
        <x:v>Gymnastics - Preschool</x:v>
      </x:c>
      <x:c r="C535" s="11" t="str">
        <x:v>Peninsula Park Cmty Ctr</x:v>
      </x:c>
      <x:c r="D535" s="11" t="str">
        <x:v>Sports - Gymnastics/Tumbling/Trampoline</x:v>
      </x:c>
      <x:c r="E535" s="8" t="str">
        <x:v>active</x:v>
      </x:c>
      <x:c r="F535" s="8" t="str">
        <x:v>2026-09-01</x:v>
      </x:c>
      <x:c r="G535" s="8" t="str">
        <x:v>2026-09-22</x:v>
      </x:c>
      <x:c r="H535" s="8" t="n">
        <x:v>8</x:v>
      </x:c>
      <x:c r="I535" s="8"/>
      <x:c r="J535" s="8" t="n">
        <x:v>8</x:v>
      </x:c>
      <x:c r="K535" s="8" t="str">
        <x:v>unverified-denominator</x:v>
      </x:c>
      <x:c r="L535" s="8" t="d">
        <x:v>2026-09-16T05:12:38.111Z</x:v>
      </x:c>
      <x:c r="M535" s="8" t="str">
        <x:v>https://apm.activecommunities.com/portlandparks/Activity_Search/gymnastics---preschool/201946?locale=en-US</x:v>
      </x:c>
    </x:row>
    <x:row r="536" ht="38" customHeight="1">
      <x:c r="A536" s="7" t="str">
        <x:v>201963</x:v>
      </x:c>
      <x:c r="B536" s="12" t="str">
        <x:v>Gymnastics - Preschool</x:v>
      </x:c>
      <x:c r="C536" s="12" t="str">
        <x:v>Peninsula Park Cmty Ctr</x:v>
      </x:c>
      <x:c r="D536" s="12" t="str">
        <x:v>Sports - Gymnastics/Tumbling/Trampoline</x:v>
      </x:c>
      <x:c r="E536" s="7" t="str">
        <x:v>active</x:v>
      </x:c>
      <x:c r="F536" s="7" t="str">
        <x:v>2026-09-04</x:v>
      </x:c>
      <x:c r="G536" s="7" t="str">
        <x:v>2026-09-25</x:v>
      </x:c>
      <x:c r="H536" s="7" t="n">
        <x:v>7</x:v>
      </x:c>
      <x:c r="I536" s="7" t="n">
        <x:v>2</x:v>
      </x:c>
      <x:c r="J536" s="7" t="n">
        <x:v>8</x:v>
      </x:c>
      <x:c r="K536" s="7" t="str">
        <x:v>unverified-denominator</x:v>
      </x:c>
      <x:c r="L536" s="7" t="d">
        <x:v>2026-09-16T05:12:38.111Z</x:v>
      </x:c>
      <x:c r="M536" s="7" t="str">
        <x:v>https://apm.activecommunities.com/portlandparks/Activity_Search/gymnastics---preschool/201963?locale=en-US</x:v>
      </x:c>
    </x:row>
    <x:row r="537" ht="38" customHeight="1">
      <x:c r="A537" s="8" t="str">
        <x:v>201964</x:v>
      </x:c>
      <x:c r="B537" s="11" t="str">
        <x:v>Gymnastics - Preschool</x:v>
      </x:c>
      <x:c r="C537" s="11" t="str">
        <x:v>Peninsula Park Cmty Ctr</x:v>
      </x:c>
      <x:c r="D537" s="11" t="str">
        <x:v>Sports - Gymnastics/Tumbling/Trampoline</x:v>
      </x:c>
      <x:c r="E537" s="8" t="str">
        <x:v>active</x:v>
      </x:c>
      <x:c r="F537" s="8" t="str">
        <x:v>2026-09-04</x:v>
      </x:c>
      <x:c r="G537" s="8" t="str">
        <x:v>2026-09-25</x:v>
      </x:c>
      <x:c r="H537" s="8" t="n">
        <x:v>8</x:v>
      </x:c>
      <x:c r="I537" s="8"/>
      <x:c r="J537" s="8" t="n">
        <x:v>8</x:v>
      </x:c>
      <x:c r="K537" s="8" t="str">
        <x:v>unverified-denominator</x:v>
      </x:c>
      <x:c r="L537" s="8" t="d">
        <x:v>2026-09-16T05:12:38.111Z</x:v>
      </x:c>
      <x:c r="M537" s="8" t="str">
        <x:v>https://apm.activecommunities.com/portlandparks/Activity_Search/gymnastics---preschool/201964?locale=en-US</x:v>
      </x:c>
    </x:row>
    <x:row r="538" ht="38" customHeight="1">
      <x:c r="A538" s="7" t="str">
        <x:v>208781</x:v>
      </x:c>
      <x:c r="B538" s="12" t="str">
        <x:v>Gymnastics - Tumbling: Jump Start</x:v>
      </x:c>
      <x:c r="C538" s="12" t="str">
        <x:v>St Johns Cmty Ctr</x:v>
      </x:c>
      <x:c r="D538" s="12" t="str">
        <x:v>Sports - Gymnastics/Tumbling/Trampoline</x:v>
      </x:c>
      <x:c r="E538" s="7" t="str">
        <x:v>future</x:v>
      </x:c>
      <x:c r="F538" s="7" t="str">
        <x:v>2026-09-29</x:v>
      </x:c>
      <x:c r="G538" s="7" t="str">
        <x:v>2026-12-01</x:v>
      </x:c>
      <x:c r="H538" s="7" t="n">
        <x:v>4</x:v>
      </x:c>
      <x:c r="I538" s="7"/>
      <x:c r="J538" s="7" t="n">
        <x:v>8</x:v>
      </x:c>
      <x:c r="K538" s="7" t="str">
        <x:v>unverified-denominator</x:v>
      </x:c>
      <x:c r="L538" s="7" t="d">
        <x:v>2026-09-16T05:12:38.111Z</x:v>
      </x:c>
      <x:c r="M538" s="7" t="str">
        <x:v>https://apm.activecommunities.com/portlandparks/Activity_Search/gymnastics---tumbling-jump-start/208781?locale=en-US</x:v>
      </x:c>
    </x:row>
    <x:row r="539" ht="38" customHeight="1">
      <x:c r="A539" s="8" t="str">
        <x:v>208782</x:v>
      </x:c>
      <x:c r="B539" s="11" t="str">
        <x:v>Gymnastics - Tumbling: Jump Start</x:v>
      </x:c>
      <x:c r="C539" s="11" t="str">
        <x:v>St Johns Cmty Ctr</x:v>
      </x:c>
      <x:c r="D539" s="11" t="str">
        <x:v>Sports - Gymnastics/Tumbling/Trampoline</x:v>
      </x:c>
      <x:c r="E539" s="8" t="str">
        <x:v>future</x:v>
      </x:c>
      <x:c r="F539" s="8" t="str">
        <x:v>2026-09-28</x:v>
      </x:c>
      <x:c r="G539" s="8" t="str">
        <x:v>2026-10-26</x:v>
      </x:c>
      <x:c r="H539" s="8" t="n">
        <x:v>8</x:v>
      </x:c>
      <x:c r="I539" s="8" t="n">
        <x:v>5</x:v>
      </x:c>
      <x:c r="J539" s="8" t="n">
        <x:v>8</x:v>
      </x:c>
      <x:c r="K539" s="8" t="str">
        <x:v>unverified-denominator</x:v>
      </x:c>
      <x:c r="L539" s="8" t="d">
        <x:v>2026-09-16T05:12:38.111Z</x:v>
      </x:c>
      <x:c r="M539" s="8" t="str">
        <x:v>https://apm.activecommunities.com/portlandparks/Activity_Search/gymnastics---tumbling-jump-start/208782?locale=en-US</x:v>
      </x:c>
    </x:row>
    <x:row r="540" ht="38" customHeight="1">
      <x:c r="A540" s="7" t="str">
        <x:v>208783</x:v>
      </x:c>
      <x:c r="B540" s="12" t="str">
        <x:v>Gymnastics - Tumbling: Jump Start</x:v>
      </x:c>
      <x:c r="C540" s="12" t="str">
        <x:v>St Johns Cmty Ctr</x:v>
      </x:c>
      <x:c r="D540" s="12" t="str">
        <x:v>Sports - Gymnastics/Tumbling/Trampoline</x:v>
      </x:c>
      <x:c r="E540" s="7" t="str">
        <x:v>future</x:v>
      </x:c>
      <x:c r="F540" s="7" t="str">
        <x:v>2026-11-02</x:v>
      </x:c>
      <x:c r="G540" s="7" t="str">
        <x:v>2026-12-07</x:v>
      </x:c>
      <x:c r="H540" s="7" t="n">
        <x:v>0</x:v>
      </x:c>
      <x:c r="I540" s="7"/>
      <x:c r="J540" s="7" t="n">
        <x:v>8</x:v>
      </x:c>
      <x:c r="K540" s="7" t="str">
        <x:v>unverified-denominator</x:v>
      </x:c>
      <x:c r="L540" s="7" t="d">
        <x:v>2026-09-16T05:12:38.111Z</x:v>
      </x:c>
      <x:c r="M540" s="7" t="str">
        <x:v>https://apm.activecommunities.com/portlandparks/Activity_Search/gymnastics---tumbling-jump-start/208783?locale=en-US</x:v>
      </x:c>
    </x:row>
    <x:row r="541" ht="38" customHeight="1">
      <x:c r="A541" s="8" t="str">
        <x:v>201965</x:v>
      </x:c>
      <x:c r="B541" s="11" t="str">
        <x:v>Gymnastics - Tumbling: You &amp; Me</x:v>
      </x:c>
      <x:c r="C541" s="11" t="str">
        <x:v>Peninsula Park Cmty Ctr</x:v>
      </x:c>
      <x:c r="D541" s="11" t="str">
        <x:v>Sports - Gymnastics/Tumbling/Trampoline</x:v>
      </x:c>
      <x:c r="E541" s="8" t="str">
        <x:v>active</x:v>
      </x:c>
      <x:c r="F541" s="8" t="str">
        <x:v>2026-08-31</x:v>
      </x:c>
      <x:c r="G541" s="8" t="str">
        <x:v>2026-09-21</x:v>
      </x:c>
      <x:c r="H541" s="8" t="n">
        <x:v>8</x:v>
      </x:c>
      <x:c r="I541" s="8" t="n">
        <x:v>13</x:v>
      </x:c>
      <x:c r="J541" s="8" t="n">
        <x:v>8</x:v>
      </x:c>
      <x:c r="K541" s="8" t="str">
        <x:v>unverified-denominator</x:v>
      </x:c>
      <x:c r="L541" s="8" t="d">
        <x:v>2026-09-16T05:12:38.111Z</x:v>
      </x:c>
      <x:c r="M541" s="8" t="str">
        <x:v>https://apm.activecommunities.com/portlandparks/Activity_Search/gymnastics---tumbling-you-me/201965?locale=en-US</x:v>
      </x:c>
    </x:row>
    <x:row r="542" ht="38" customHeight="1">
      <x:c r="A542" s="7" t="str">
        <x:v>201966</x:v>
      </x:c>
      <x:c r="B542" s="12" t="str">
        <x:v>Gymnastics - Tumbling: You &amp; Me</x:v>
      </x:c>
      <x:c r="C542" s="12" t="str">
        <x:v>Peninsula Park Cmty Ctr</x:v>
      </x:c>
      <x:c r="D542" s="12" t="str">
        <x:v>Sports - Gymnastics/Tumbling/Trampoline</x:v>
      </x:c>
      <x:c r="E542" s="7" t="str">
        <x:v>active</x:v>
      </x:c>
      <x:c r="F542" s="7" t="str">
        <x:v>2026-08-31</x:v>
      </x:c>
      <x:c r="G542" s="7" t="str">
        <x:v>2026-09-21</x:v>
      </x:c>
      <x:c r="H542" s="7" t="n">
        <x:v>7</x:v>
      </x:c>
      <x:c r="I542" s="7" t="n">
        <x:v>8</x:v>
      </x:c>
      <x:c r="J542" s="7" t="n">
        <x:v>8</x:v>
      </x:c>
      <x:c r="K542" s="7" t="str">
        <x:v>unverified-denominator</x:v>
      </x:c>
      <x:c r="L542" s="7" t="d">
        <x:v>2026-09-16T05:12:38.111Z</x:v>
      </x:c>
      <x:c r="M542" s="7" t="str">
        <x:v>https://apm.activecommunities.com/portlandparks/Activity_Search/gymnastics---tumbling-you-me/201966?locale=en-US</x:v>
      </x:c>
    </x:row>
    <x:row r="543" ht="38" customHeight="1">
      <x:c r="A543" s="8" t="str">
        <x:v>201962</x:v>
      </x:c>
      <x:c r="B543" s="11" t="str">
        <x:v>Gymnastics - Tumbling: You &amp; Me</x:v>
      </x:c>
      <x:c r="C543" s="11" t="str">
        <x:v>Peninsula Park Cmty Ctr</x:v>
      </x:c>
      <x:c r="D543" s="11" t="str">
        <x:v>Sports - Gymnastics/Tumbling/Trampoline</x:v>
      </x:c>
      <x:c r="E543" s="8" t="str">
        <x:v>active</x:v>
      </x:c>
      <x:c r="F543" s="8" t="str">
        <x:v>2026-09-04</x:v>
      </x:c>
      <x:c r="G543" s="8" t="str">
        <x:v>2026-09-25</x:v>
      </x:c>
      <x:c r="H543" s="8" t="n">
        <x:v>8</x:v>
      </x:c>
      <x:c r="I543" s="8" t="n">
        <x:v>19</x:v>
      </x:c>
      <x:c r="J543" s="8" t="n">
        <x:v>8</x:v>
      </x:c>
      <x:c r="K543" s="8" t="str">
        <x:v>unverified-denominator</x:v>
      </x:c>
      <x:c r="L543" s="8" t="d">
        <x:v>2026-09-16T05:12:38.111Z</x:v>
      </x:c>
      <x:c r="M543" s="8" t="str">
        <x:v>https://apm.activecommunities.com/portlandparks/Activity_Search/gymnastics---tumbling-you-me/201962?locale=en-US</x:v>
      </x:c>
    </x:row>
    <x:row r="544" ht="38" customHeight="1">
      <x:c r="A544" s="7" t="str">
        <x:v>201816</x:v>
      </x:c>
      <x:c r="B544" s="12" t="str">
        <x:v>Hike for Health II - Blue Lake</x:v>
      </x:c>
      <x:c r="C544" s="12" t="str">
        <x:v>East Portland Community Center</x:v>
      </x:c>
      <x:c r="D544" s="12" t="str">
        <x:v>Hiking &amp; Walking</x:v>
      </x:c>
      <x:c r="E544" s="7" t="str">
        <x:v>undated</x:v>
      </x:c>
      <x:c r="F544" s="7" t="str">
        <x:v>2026-09-24</x:v>
      </x:c>
      <x:c r="G544" s="7" t="str"/>
      <x:c r="H544" s="7" t="n">
        <x:v>7</x:v>
      </x:c>
      <x:c r="I544" s="7" t="n">
        <x:v>3</x:v>
      </x:c>
      <x:c r="J544" s="7" t="n">
        <x:v>10</x:v>
      </x:c>
      <x:c r="K544" s="7" t="str">
        <x:v>unverified-denominator</x:v>
      </x:c>
      <x:c r="L544" s="7" t="d">
        <x:v>2026-09-16T05:12:38.111Z</x:v>
      </x:c>
      <x:c r="M544" s="7" t="str">
        <x:v>https://apm.activecommunities.com/portlandparks/Activity_Search/hike-for-health-ii---blue-lake/201816?locale=en-US</x:v>
      </x:c>
    </x:row>
    <x:row r="545" ht="38" customHeight="1">
      <x:c r="A545" s="8" t="str">
        <x:v>208315</x:v>
      </x:c>
      <x:c r="B545" s="11" t="str">
        <x:v>Hike for Health II - Blue Lake</x:v>
      </x:c>
      <x:c r="C545" s="11" t="str">
        <x:v>East Portland Community Center</x:v>
      </x:c>
      <x:c r="D545" s="11" t="str">
        <x:v>Hiking &amp; Walking</x:v>
      </x:c>
      <x:c r="E545" s="8" t="str">
        <x:v>undated</x:v>
      </x:c>
      <x:c r="F545" s="8" t="str">
        <x:v>2026-10-06</x:v>
      </x:c>
      <x:c r="G545" s="8" t="str"/>
      <x:c r="H545" s="8" t="n">
        <x:v>9</x:v>
      </x:c>
      <x:c r="I545" s="8"/>
      <x:c r="J545" s="8" t="n">
        <x:v>10</x:v>
      </x:c>
      <x:c r="K545" s="8" t="str">
        <x:v>unverified-denominator</x:v>
      </x:c>
      <x:c r="L545" s="8" t="d">
        <x:v>2026-09-16T05:12:38.111Z</x:v>
      </x:c>
      <x:c r="M545" s="8" t="str">
        <x:v>https://apm.activecommunities.com/portlandparks/Activity_Search/hike-for-health-ii---blue-lake/208315?locale=en-US</x:v>
      </x:c>
    </x:row>
    <x:row r="546" ht="38" customHeight="1">
      <x:c r="A546" s="7" t="str">
        <x:v>208324</x:v>
      </x:c>
      <x:c r="B546" s="12" t="str">
        <x:v>Hike for Health II - Cottonwood Canyon - Wasco</x:v>
      </x:c>
      <x:c r="C546" s="12" t="str">
        <x:v>East Portland Community Center</x:v>
      </x:c>
      <x:c r="D546" s="12" t="str">
        <x:v>Hiking &amp; Walking</x:v>
      </x:c>
      <x:c r="E546" s="7" t="str">
        <x:v>undated</x:v>
      </x:c>
      <x:c r="F546" s="7" t="str">
        <x:v>2026-11-18</x:v>
      </x:c>
      <x:c r="G546" s="7" t="str"/>
      <x:c r="H546" s="7" t="n">
        <x:v>0</x:v>
      </x:c>
      <x:c r="I546" s="7"/>
      <x:c r="J546" s="7" t="n">
        <x:v>12</x:v>
      </x:c>
      <x:c r="K546" s="7" t="str">
        <x:v>unverified-denominator</x:v>
      </x:c>
      <x:c r="L546" s="7" t="d">
        <x:v>2026-09-16T05:12:38.111Z</x:v>
      </x:c>
      <x:c r="M546" s="7" t="str">
        <x:v>https://apm.activecommunities.com/portlandparks/Activity_Search/hike-for-health-ii---cottonwood-canyon---wasco/208324?locale=en-US</x:v>
      </x:c>
    </x:row>
    <x:row r="547" ht="38" customHeight="1">
      <x:c r="A547" s="8" t="str">
        <x:v>201815</x:v>
      </x:c>
      <x:c r="B547" s="11" t="str">
        <x:v>Hike for Health II - Deep Lake - Carson</x:v>
      </x:c>
      <x:c r="C547" s="11" t="str">
        <x:v>East Portland Community Center</x:v>
      </x:c>
      <x:c r="D547" s="11" t="str">
        <x:v>Hiking &amp; Walking</x:v>
      </x:c>
      <x:c r="E547" s="8" t="str">
        <x:v>undated</x:v>
      </x:c>
      <x:c r="F547" s="8" t="str">
        <x:v>2026-09-22</x:v>
      </x:c>
      <x:c r="G547" s="8" t="str"/>
      <x:c r="H547" s="8" t="n">
        <x:v>9</x:v>
      </x:c>
      <x:c r="I547" s="8"/>
      <x:c r="J547" s="8" t="n">
        <x:v>12</x:v>
      </x:c>
      <x:c r="K547" s="8" t="str">
        <x:v>unverified-denominator</x:v>
      </x:c>
      <x:c r="L547" s="8" t="d">
        <x:v>2026-09-16T05:12:38.111Z</x:v>
      </x:c>
      <x:c r="M547" s="8" t="str">
        <x:v>https://apm.activecommunities.com/portlandparks/Activity_Search/hike-for-health-ii---deep-lake---carson/201815?locale=en-US</x:v>
      </x:c>
    </x:row>
    <x:row r="548" ht="38" customHeight="1">
      <x:c r="A548" s="7" t="str">
        <x:v>208330</x:v>
      </x:c>
      <x:c r="B548" s="12" t="str">
        <x:v>Hike for Health II - Deschutes River - The Dalles</x:v>
      </x:c>
      <x:c r="C548" s="12" t="str">
        <x:v>East Portland Community Center</x:v>
      </x:c>
      <x:c r="D548" s="12" t="str">
        <x:v>Hiking &amp; Walking</x:v>
      </x:c>
      <x:c r="E548" s="7" t="str">
        <x:v>undated</x:v>
      </x:c>
      <x:c r="F548" s="7" t="str">
        <x:v>2026-11-12</x:v>
      </x:c>
      <x:c r="G548" s="7" t="str"/>
      <x:c r="H548" s="7" t="n">
        <x:v>0</x:v>
      </x:c>
      <x:c r="I548" s="7"/>
      <x:c r="J548" s="7" t="n">
        <x:v>12</x:v>
      </x:c>
      <x:c r="K548" s="7" t="str">
        <x:v>unverified-denominator</x:v>
      </x:c>
      <x:c r="L548" s="7" t="d">
        <x:v>2026-09-16T05:12:38.111Z</x:v>
      </x:c>
      <x:c r="M548" s="7" t="str">
        <x:v>https://apm.activecommunities.com/portlandparks/Activity_Search/hike-for-health-ii---deschutes-river---the-dalles/208330?locale=en-US</x:v>
      </x:c>
    </x:row>
    <x:row r="549" ht="38" customHeight="1">
      <x:c r="A549" s="8" t="str">
        <x:v>208327</x:v>
      </x:c>
      <x:c r="B549" s="11" t="str">
        <x:v>Hike for Health II - Dry Creek - Carson</x:v>
      </x:c>
      <x:c r="C549" s="11" t="str">
        <x:v>East Portland Community Center</x:v>
      </x:c>
      <x:c r="D549" s="11" t="str">
        <x:v>Hiking &amp; Walking</x:v>
      </x:c>
      <x:c r="E549" s="8" t="str">
        <x:v>undated</x:v>
      </x:c>
      <x:c r="F549" s="8" t="str">
        <x:v>2026-10-15</x:v>
      </x:c>
      <x:c r="G549" s="8" t="str"/>
      <x:c r="H549" s="8" t="n">
        <x:v>9</x:v>
      </x:c>
      <x:c r="I549" s="8" t="n">
        <x:v>8</x:v>
      </x:c>
      <x:c r="J549" s="8" t="n">
        <x:v>10</x:v>
      </x:c>
      <x:c r="K549" s="8" t="str">
        <x:v>unverified-denominator</x:v>
      </x:c>
      <x:c r="L549" s="8" t="d">
        <x:v>2026-09-16T05:12:38.111Z</x:v>
      </x:c>
      <x:c r="M549" s="8" t="str">
        <x:v>https://apm.activecommunities.com/portlandparks/Activity_Search/hike-for-health-ii---dry-creek---carson/208327?locale=en-US</x:v>
      </x:c>
    </x:row>
    <x:row r="550" ht="38" customHeight="1">
      <x:c r="A550" s="7" t="str">
        <x:v>208317</x:v>
      </x:c>
      <x:c r="B550" s="12" t="str">
        <x:v>Hike for Health II - Dry Creek Falls - Cascade Locks</x:v>
      </x:c>
      <x:c r="C550" s="12" t="str">
        <x:v>East Portland Community Center</x:v>
      </x:c>
      <x:c r="D550" s="12" t="str">
        <x:v>Hiking &amp; Walking</x:v>
      </x:c>
      <x:c r="E550" s="7" t="str">
        <x:v>undated</x:v>
      </x:c>
      <x:c r="F550" s="7" t="str">
        <x:v>2026-11-10</x:v>
      </x:c>
      <x:c r="G550" s="7" t="str"/>
      <x:c r="H550" s="7" t="n">
        <x:v>0</x:v>
      </x:c>
      <x:c r="I550" s="7"/>
      <x:c r="J550" s="7" t="n">
        <x:v>12</x:v>
      </x:c>
      <x:c r="K550" s="7" t="str">
        <x:v>unverified-denominator</x:v>
      </x:c>
      <x:c r="L550" s="7" t="d">
        <x:v>2026-09-16T05:12:38.111Z</x:v>
      </x:c>
      <x:c r="M550" s="7" t="str">
        <x:v>https://apm.activecommunities.com/portlandparks/Activity_Search/hike-for-health-ii---dry-creek-falls---cascade-locks/208317?locale=en-US</x:v>
      </x:c>
    </x:row>
    <x:row r="551" ht="38" customHeight="1">
      <x:c r="A551" s="8" t="str">
        <x:v>208329</x:v>
      </x:c>
      <x:c r="B551" s="11" t="str">
        <x:v>Hike for Health II - Halloween Mystery Hike</x:v>
      </x:c>
      <x:c r="C551" s="11" t="str">
        <x:v>East Portland Community Center</x:v>
      </x:c>
      <x:c r="D551" s="11" t="str">
        <x:v>Hiking &amp; Walking</x:v>
      </x:c>
      <x:c r="E551" s="8" t="str">
        <x:v>undated</x:v>
      </x:c>
      <x:c r="F551" s="8" t="str">
        <x:v>2026-10-29</x:v>
      </x:c>
      <x:c r="G551" s="8" t="str"/>
      <x:c r="H551" s="8" t="n">
        <x:v>6</x:v>
      </x:c>
      <x:c r="I551" s="8"/>
      <x:c r="J551" s="8" t="n">
        <x:v>12</x:v>
      </x:c>
      <x:c r="K551" s="8" t="str">
        <x:v>unverified-denominator</x:v>
      </x:c>
      <x:c r="L551" s="8" t="d">
        <x:v>2026-09-16T05:12:38.111Z</x:v>
      </x:c>
      <x:c r="M551" s="8" t="str">
        <x:v>https://apm.activecommunities.com/portlandparks/Activity_Search/hike-for-health-ii---halloween-mystery-hike/208329?locale=en-US</x:v>
      </x:c>
    </x:row>
    <x:row r="552" ht="38" customHeight="1">
      <x:c r="A552" s="7" t="str">
        <x:v>208321</x:v>
      </x:c>
      <x:c r="B552" s="12" t="str">
        <x:v>Hike for Health II - Hummocks &amp; Coldwater Lake - St Helens</x:v>
      </x:c>
      <x:c r="C552" s="12" t="str">
        <x:v>East Portland Community Center</x:v>
      </x:c>
      <x:c r="D552" s="12" t="str">
        <x:v>Hiking &amp; Walking</x:v>
      </x:c>
      <x:c r="E552" s="7" t="str">
        <x:v>undated</x:v>
      </x:c>
      <x:c r="F552" s="7" t="str">
        <x:v>2026-10-21</x:v>
      </x:c>
      <x:c r="G552" s="7" t="str"/>
      <x:c r="H552" s="7" t="n">
        <x:v>12</x:v>
      </x:c>
      <x:c r="I552" s="7" t="n">
        <x:v>6</x:v>
      </x:c>
      <x:c r="J552" s="7" t="n">
        <x:v>12</x:v>
      </x:c>
      <x:c r="K552" s="7" t="str">
        <x:v>unverified-denominator</x:v>
      </x:c>
      <x:c r="L552" s="7" t="d">
        <x:v>2026-09-16T05:12:38.111Z</x:v>
      </x:c>
      <x:c r="M552" s="7" t="str">
        <x:v>https://apm.activecommunities.com/portlandparks/Activity_Search/hike-for-health-ii---hummocks-coldwater-lake---st-helens/208321?locale=en-US</x:v>
      </x:c>
    </x:row>
    <x:row r="553" ht="38" customHeight="1">
      <x:c r="A553" s="8" t="str">
        <x:v>208319</x:v>
      </x:c>
      <x:c r="B553" s="11" t="str">
        <x:v>Hike for Health II - Junction Lake Loop - Carson</x:v>
      </x:c>
      <x:c r="C553" s="11" t="str">
        <x:v>East Portland Community Center</x:v>
      </x:c>
      <x:c r="D553" s="11" t="str">
        <x:v>Hiking &amp; Walking</x:v>
      </x:c>
      <x:c r="E553" s="8" t="str">
        <x:v>undated</x:v>
      </x:c>
      <x:c r="F553" s="8" t="str">
        <x:v>2026-10-07</x:v>
      </x:c>
      <x:c r="G553" s="8" t="str"/>
      <x:c r="H553" s="8" t="n">
        <x:v>10</x:v>
      </x:c>
      <x:c r="I553" s="8" t="n">
        <x:v>3</x:v>
      </x:c>
      <x:c r="J553" s="8" t="n">
        <x:v>10</x:v>
      </x:c>
      <x:c r="K553" s="8" t="str">
        <x:v>unverified-denominator</x:v>
      </x:c>
      <x:c r="L553" s="8" t="d">
        <x:v>2026-09-16T05:12:38.111Z</x:v>
      </x:c>
      <x:c r="M553" s="8" t="str">
        <x:v>https://apm.activecommunities.com/portlandparks/Activity_Search/hike-for-health-ii---junction-lake-loop---carson/208319?locale=en-US</x:v>
      </x:c>
    </x:row>
    <x:row r="554" ht="38" customHeight="1">
      <x:c r="A554" s="7" t="str">
        <x:v>201791</x:v>
      </x:c>
      <x:c r="B554" s="12" t="str">
        <x:v>Hike for Health II - Nehalem Loop Spit</x:v>
      </x:c>
      <x:c r="C554" s="12" t="str">
        <x:v>East Portland Community Center</x:v>
      </x:c>
      <x:c r="D554" s="12" t="str">
        <x:v>Hiking &amp; Walking</x:v>
      </x:c>
      <x:c r="E554" s="7" t="str">
        <x:v>undated</x:v>
      </x:c>
      <x:c r="F554" s="7" t="str">
        <x:v>2026-09-23</x:v>
      </x:c>
      <x:c r="G554" s="7" t="str"/>
      <x:c r="H554" s="7" t="n">
        <x:v>11</x:v>
      </x:c>
      <x:c r="I554" s="7" t="n">
        <x:v>7</x:v>
      </x:c>
      <x:c r="J554" s="7" t="n">
        <x:v>12</x:v>
      </x:c>
      <x:c r="K554" s="7" t="str">
        <x:v>unverified-denominator</x:v>
      </x:c>
      <x:c r="L554" s="7" t="d">
        <x:v>2026-09-16T05:12:38.111Z</x:v>
      </x:c>
      <x:c r="M554" s="7" t="str">
        <x:v>https://apm.activecommunities.com/portlandparks/Activity_Search/hike-for-health-ii---nehalem-loop-spit/201791?locale=en-US</x:v>
      </x:c>
    </x:row>
    <x:row r="555" ht="38" customHeight="1">
      <x:c r="A555" s="8" t="str">
        <x:v>208325</x:v>
      </x:c>
      <x:c r="B555" s="11" t="str">
        <x:v>Hike for Health II - Old Salmon River - Welches</x:v>
      </x:c>
      <x:c r="C555" s="11" t="str">
        <x:v>East Portland Community Center</x:v>
      </x:c>
      <x:c r="D555" s="11" t="str">
        <x:v>Hiking &amp; Walking</x:v>
      </x:c>
      <x:c r="E555" s="8" t="str">
        <x:v>undated</x:v>
      </x:c>
      <x:c r="F555" s="8" t="str">
        <x:v>2026-10-01</x:v>
      </x:c>
      <x:c r="G555" s="8" t="str"/>
      <x:c r="H555" s="8" t="n">
        <x:v>11</x:v>
      </x:c>
      <x:c r="I555" s="8" t="n">
        <x:v>10</x:v>
      </x:c>
      <x:c r="J555" s="8" t="n">
        <x:v>12</x:v>
      </x:c>
      <x:c r="K555" s="8" t="str">
        <x:v>unverified-denominator</x:v>
      </x:c>
      <x:c r="L555" s="8" t="d">
        <x:v>2026-09-16T05:12:38.111Z</x:v>
      </x:c>
      <x:c r="M555" s="8" t="str">
        <x:v>https://apm.activecommunities.com/portlandparks/Activity_Search/hike-for-health-ii---old-salmon-river---welches/208325?locale=en-US</x:v>
      </x:c>
    </x:row>
    <x:row r="556" ht="38" customHeight="1">
      <x:c r="A556" s="7" t="str">
        <x:v>208320</x:v>
      </x:c>
      <x:c r="B556" s="12" t="str">
        <x:v>Hike for Health II - Placid and Chenamus Lakes -  Carson</x:v>
      </x:c>
      <x:c r="C556" s="12" t="str">
        <x:v>East Portland Community Center</x:v>
      </x:c>
      <x:c r="D556" s="12" t="str">
        <x:v>Hiking &amp; Walking</x:v>
      </x:c>
      <x:c r="E556" s="7" t="str">
        <x:v>undated</x:v>
      </x:c>
      <x:c r="F556" s="7" t="str">
        <x:v>2026-10-14</x:v>
      </x:c>
      <x:c r="G556" s="7" t="str"/>
      <x:c r="H556" s="7" t="n">
        <x:v>10</x:v>
      </x:c>
      <x:c r="I556" s="7" t="n">
        <x:v>5</x:v>
      </x:c>
      <x:c r="J556" s="7" t="n">
        <x:v>10</x:v>
      </x:c>
      <x:c r="K556" s="7" t="str">
        <x:v>unverified-denominator</x:v>
      </x:c>
      <x:c r="L556" s="7" t="d">
        <x:v>2026-09-16T05:12:38.111Z</x:v>
      </x:c>
      <x:c r="M556" s="7" t="str">
        <x:v>https://apm.activecommunities.com/portlandparks/Activity_Search/hike-for-health-ii---placid-and-chenamus-lakes---carson/208320?locale=en-US</x:v>
      </x:c>
    </x:row>
    <x:row r="557" ht="38" customHeight="1">
      <x:c r="A557" s="8" t="str">
        <x:v>208331</x:v>
      </x:c>
      <x:c r="B557" s="11" t="str">
        <x:v>Hike for Health II - Silver Falls State Park</x:v>
      </x:c>
      <x:c r="C557" s="11" t="str">
        <x:v>East Portland Community Center</x:v>
      </x:c>
      <x:c r="D557" s="11" t="str">
        <x:v>Hiking &amp; Walking</x:v>
      </x:c>
      <x:c r="E557" s="8" t="str">
        <x:v>undated</x:v>
      </x:c>
      <x:c r="F557" s="8" t="str">
        <x:v>2026-11-19</x:v>
      </x:c>
      <x:c r="G557" s="8" t="str"/>
      <x:c r="H557" s="8" t="n">
        <x:v>0</x:v>
      </x:c>
      <x:c r="I557" s="8"/>
      <x:c r="J557" s="8" t="n">
        <x:v>12</x:v>
      </x:c>
      <x:c r="K557" s="8" t="str">
        <x:v>unverified-denominator</x:v>
      </x:c>
      <x:c r="L557" s="8" t="d">
        <x:v>2026-09-16T05:12:38.111Z</x:v>
      </x:c>
      <x:c r="M557" s="8" t="str">
        <x:v>https://apm.activecommunities.com/portlandparks/Activity_Search/hike-for-health-ii---silver-falls-state-park/208331?locale=en-US</x:v>
      </x:c>
    </x:row>
    <x:row r="558" ht="38" customHeight="1">
      <x:c r="A558" s="7" t="str">
        <x:v>208318</x:v>
      </x:c>
      <x:c r="B558" s="12" t="str">
        <x:v>Hike for Health II - Sitka Sedge (Pacific City)</x:v>
      </x:c>
      <x:c r="C558" s="12" t="str">
        <x:v>East Portland Community Center</x:v>
      </x:c>
      <x:c r="D558" s="12" t="str">
        <x:v>Hiking &amp; Walking</x:v>
      </x:c>
      <x:c r="E558" s="7" t="str">
        <x:v>undated</x:v>
      </x:c>
      <x:c r="F558" s="7" t="str">
        <x:v>2026-09-30</x:v>
      </x:c>
      <x:c r="G558" s="7" t="str"/>
      <x:c r="H558" s="7" t="n">
        <x:v>12</x:v>
      </x:c>
      <x:c r="I558" s="7" t="n">
        <x:v>1</x:v>
      </x:c>
      <x:c r="J558" s="7" t="n">
        <x:v>12</x:v>
      </x:c>
      <x:c r="K558" s="7" t="str">
        <x:v>unverified-denominator</x:v>
      </x:c>
      <x:c r="L558" s="7" t="d">
        <x:v>2026-09-16T05:12:38.111Z</x:v>
      </x:c>
      <x:c r="M558" s="7" t="str">
        <x:v>https://apm.activecommunities.com/portlandparks/Activity_Search/hike-for-health-ii---sitka-sedge-pacific-city/208318?locale=en-US</x:v>
      </x:c>
    </x:row>
    <x:row r="559" ht="38" customHeight="1">
      <x:c r="A559" s="8" t="str">
        <x:v>208322</x:v>
      </x:c>
      <x:c r="B559" s="11" t="str">
        <x:v>Hike for Health II - Smith Rock - Deschutes County</x:v>
      </x:c>
      <x:c r="C559" s="11" t="str">
        <x:v>East Portland Community Center</x:v>
      </x:c>
      <x:c r="D559" s="11" t="str">
        <x:v>Hiking &amp; Walking</x:v>
      </x:c>
      <x:c r="E559" s="8" t="str">
        <x:v>undated</x:v>
      </x:c>
      <x:c r="F559" s="8" t="str">
        <x:v>2026-10-28</x:v>
      </x:c>
      <x:c r="G559" s="8" t="str"/>
      <x:c r="H559" s="8" t="n">
        <x:v>12</x:v>
      </x:c>
      <x:c r="I559" s="8" t="n">
        <x:v>3</x:v>
      </x:c>
      <x:c r="J559" s="8" t="n">
        <x:v>12</x:v>
      </x:c>
      <x:c r="K559" s="8" t="str">
        <x:v>unverified-denominator</x:v>
      </x:c>
      <x:c r="L559" s="8" t="d">
        <x:v>2026-09-16T05:12:38.111Z</x:v>
      </x:c>
      <x:c r="M559" s="8" t="str">
        <x:v>https://apm.activecommunities.com/portlandparks/Activity_Search/hike-for-health-ii---smith-rock---deschutes-county/208322?locale=en-US</x:v>
      </x:c>
    </x:row>
    <x:row r="560" ht="38" customHeight="1">
      <x:c r="A560" s="7" t="str">
        <x:v>208316</x:v>
      </x:c>
      <x:c r="B560" s="12" t="str">
        <x:v>Hike for Health II - Surveyors Ridge - Hood River</x:v>
      </x:c>
      <x:c r="C560" s="12" t="str">
        <x:v>East Portland Community Center</x:v>
      </x:c>
      <x:c r="D560" s="12" t="str">
        <x:v>Hiking &amp; Walking</x:v>
      </x:c>
      <x:c r="E560" s="7" t="str">
        <x:v>undated</x:v>
      </x:c>
      <x:c r="F560" s="7" t="str">
        <x:v>2026-11-03</x:v>
      </x:c>
      <x:c r="G560" s="7" t="str"/>
      <x:c r="H560" s="7" t="n">
        <x:v>0</x:v>
      </x:c>
      <x:c r="I560" s="7"/>
      <x:c r="J560" s="7" t="n">
        <x:v>12</x:v>
      </x:c>
      <x:c r="K560" s="7" t="str">
        <x:v>unverified-denominator</x:v>
      </x:c>
      <x:c r="L560" s="7" t="d">
        <x:v>2026-09-16T05:12:38.111Z</x:v>
      </x:c>
      <x:c r="M560" s="7" t="str">
        <x:v>https://apm.activecommunities.com/portlandparks/Activity_Search/hike-for-health-ii---surveyors-ridge---hood-river/208316?locale=en-US</x:v>
      </x:c>
    </x:row>
    <x:row r="561" ht="38" customHeight="1">
      <x:c r="A561" s="8" t="str">
        <x:v>208326</x:v>
      </x:c>
      <x:c r="B561" s="11" t="str">
        <x:v>Hike for Health II - Thomas and Rock Lakes - Carson</x:v>
      </x:c>
      <x:c r="C561" s="11" t="str">
        <x:v>East Portland Community Center</x:v>
      </x:c>
      <x:c r="D561" s="11" t="str">
        <x:v>Hiking &amp; Walking</x:v>
      </x:c>
      <x:c r="E561" s="8" t="str">
        <x:v>undated</x:v>
      </x:c>
      <x:c r="F561" s="8" t="str">
        <x:v>2026-10-08</x:v>
      </x:c>
      <x:c r="G561" s="8" t="str"/>
      <x:c r="H561" s="8" t="n">
        <x:v>10</x:v>
      </x:c>
      <x:c r="I561" s="8"/>
      <x:c r="J561" s="8" t="n">
        <x:v>10</x:v>
      </x:c>
      <x:c r="K561" s="8" t="str">
        <x:v>unverified-denominator</x:v>
      </x:c>
      <x:c r="L561" s="8" t="d">
        <x:v>2026-09-16T05:12:38.111Z</x:v>
      </x:c>
      <x:c r="M561" s="8" t="str">
        <x:v>https://apm.activecommunities.com/portlandparks/Activity_Search/hike-for-health-ii---thomas-and-rock-lakes---carson/208326?locale=en-US</x:v>
      </x:c>
    </x:row>
    <x:row r="562" ht="38" customHeight="1">
      <x:c r="A562" s="7" t="str">
        <x:v>208328</x:v>
      </x:c>
      <x:c r="B562" s="12" t="str">
        <x:v>Hike for Health II - Twin Lakes (Waipinitia Pass)</x:v>
      </x:c>
      <x:c r="C562" s="12" t="str">
        <x:v>East Portland Community Center</x:v>
      </x:c>
      <x:c r="D562" s="12" t="str">
        <x:v>Hiking &amp; Walking</x:v>
      </x:c>
      <x:c r="E562" s="7" t="str">
        <x:v>undated</x:v>
      </x:c>
      <x:c r="F562" s="7" t="str">
        <x:v>2026-10-22</x:v>
      </x:c>
      <x:c r="G562" s="7" t="str"/>
      <x:c r="H562" s="7" t="n">
        <x:v>12</x:v>
      </x:c>
      <x:c r="I562" s="7" t="n">
        <x:v>2</x:v>
      </x:c>
      <x:c r="J562" s="7" t="n">
        <x:v>12</x:v>
      </x:c>
      <x:c r="K562" s="7" t="str">
        <x:v>unverified-denominator</x:v>
      </x:c>
      <x:c r="L562" s="7" t="d">
        <x:v>2026-09-16T05:12:38.111Z</x:v>
      </x:c>
      <x:c r="M562" s="7" t="str">
        <x:v>https://apm.activecommunities.com/portlandparks/Activity_Search/hike-for-health-ii---twin-lakes-waipinitia-pass/208328?locale=en-US</x:v>
      </x:c>
    </x:row>
    <x:row r="563" ht="38" customHeight="1">
      <x:c r="A563" s="8" t="str">
        <x:v>208323</x:v>
      </x:c>
      <x:c r="B563" s="11" t="str">
        <x:v>Hike for Health II - Umbrella Falls - Mt Hood</x:v>
      </x:c>
      <x:c r="C563" s="11" t="str">
        <x:v>East Portland Community Center</x:v>
      </x:c>
      <x:c r="D563" s="11" t="str">
        <x:v>Hiking &amp; Walking</x:v>
      </x:c>
      <x:c r="E563" s="8" t="str">
        <x:v>undated</x:v>
      </x:c>
      <x:c r="F563" s="8" t="str">
        <x:v>2026-11-04</x:v>
      </x:c>
      <x:c r="G563" s="8" t="str"/>
      <x:c r="H563" s="8" t="n">
        <x:v>0</x:v>
      </x:c>
      <x:c r="I563" s="8"/>
      <x:c r="J563" s="8" t="n">
        <x:v>12</x:v>
      </x:c>
      <x:c r="K563" s="8" t="str">
        <x:v>unverified-denominator</x:v>
      </x:c>
      <x:c r="L563" s="8" t="d">
        <x:v>2026-09-16T05:12:38.111Z</x:v>
      </x:c>
      <x:c r="M563" s="8" t="str">
        <x:v>https://apm.activecommunities.com/portlandparks/Activity_Search/hike-for-health-ii---umbrella-falls---mt-hood/208323?locale=en-US</x:v>
      </x:c>
    </x:row>
    <x:row r="564" ht="38" customHeight="1">
      <x:c r="A564" s="7" t="str">
        <x:v>201790</x:v>
      </x:c>
      <x:c r="B564" s="12" t="str">
        <x:v>Hike for Health II - ZigZag Canyon</x:v>
      </x:c>
      <x:c r="C564" s="12" t="str">
        <x:v>East Portland Community Center</x:v>
      </x:c>
      <x:c r="D564" s="12" t="str">
        <x:v>Hiking &amp; Walking</x:v>
      </x:c>
      <x:c r="E564" s="7" t="str">
        <x:v>undated</x:v>
      </x:c>
      <x:c r="F564" s="7" t="str">
        <x:v>2026-09-16</x:v>
      </x:c>
      <x:c r="G564" s="7" t="str"/>
      <x:c r="H564" s="7" t="n">
        <x:v>11</x:v>
      </x:c>
      <x:c r="I564" s="7" t="n">
        <x:v>1</x:v>
      </x:c>
      <x:c r="J564" s="7" t="n">
        <x:v>12</x:v>
      </x:c>
      <x:c r="K564" s="7" t="str">
        <x:v>unverified-denominator</x:v>
      </x:c>
      <x:c r="L564" s="7" t="d">
        <x:v>2026-09-16T05:12:38.111Z</x:v>
      </x:c>
      <x:c r="M564" s="7" t="str">
        <x:v>https://apm.activecommunities.com/portlandparks/Activity_Search/hike-for-health-ii---zigzag-canyon/201790?locale=en-US</x:v>
      </x:c>
    </x:row>
    <x:row r="565" ht="38" customHeight="1">
      <x:c r="A565" s="8" t="str">
        <x:v>201835</x:v>
      </x:c>
      <x:c r="B565" s="11" t="str">
        <x:v>Hike for Health II Q - Gresham Butte</x:v>
      </x:c>
      <x:c r="C565" s="11" t="str">
        <x:v>Gresham Butte, Gresham, OR 97080</x:v>
      </x:c>
      <x:c r="D565" s="11" t="str">
        <x:v>Hiking &amp; Walking</x:v>
      </x:c>
      <x:c r="E565" s="8" t="str">
        <x:v>undated</x:v>
      </x:c>
      <x:c r="F565" s="8" t="str">
        <x:v>2026-09-26</x:v>
      </x:c>
      <x:c r="G565" s="8" t="str"/>
      <x:c r="H565" s="8" t="n">
        <x:v>3</x:v>
      </x:c>
      <x:c r="I565" s="8"/>
      <x:c r="J565" s="8" t="n">
        <x:v>15</x:v>
      </x:c>
      <x:c r="K565" s="8" t="str">
        <x:v>unverified-denominator</x:v>
      </x:c>
      <x:c r="L565" s="8" t="d">
        <x:v>2026-09-16T05:12:38.111Z</x:v>
      </x:c>
      <x:c r="M565" s="8" t="str">
        <x:v>https://apm.activecommunities.com/portlandparks/Activity_Search/hike-for-health-ii-q---gresham-butte/201835?locale=en-US</x:v>
      </x:c>
    </x:row>
    <x:row r="566" ht="38" customHeight="1">
      <x:c r="A566" s="7" t="str">
        <x:v>208334</x:v>
      </x:c>
      <x:c r="B566" s="12" t="str">
        <x:v>Hike for Health II Q - Marquam</x:v>
      </x:c>
      <x:c r="C566" s="12" t="str">
        <x:v>Marquam Nature Park Shelter,  SW Marquam St, Portland, OR 97201</x:v>
      </x:c>
      <x:c r="D566" s="12" t="str">
        <x:v>Hiking &amp; Walking</x:v>
      </x:c>
      <x:c r="E566" s="7" t="str">
        <x:v>undated</x:v>
      </x:c>
      <x:c r="F566" s="7" t="str">
        <x:v>2026-10-06</x:v>
      </x:c>
      <x:c r="G566" s="7" t="str"/>
      <x:c r="H566" s="7" t="n">
        <x:v>1</x:v>
      </x:c>
      <x:c r="I566" s="7"/>
      <x:c r="J566" s="7" t="n">
        <x:v>12</x:v>
      </x:c>
      <x:c r="K566" s="7" t="str">
        <x:v>unverified-denominator</x:v>
      </x:c>
      <x:c r="L566" s="7" t="d">
        <x:v>2026-09-16T05:12:38.111Z</x:v>
      </x:c>
      <x:c r="M566" s="7" t="str">
        <x:v>https://apm.activecommunities.com/portlandparks/Activity_Search/hike-for-health-ii-q---marquam/208334?locale=en-US</x:v>
      </x:c>
    </x:row>
    <x:row r="567" ht="38" customHeight="1">
      <x:c r="A567" s="8" t="str">
        <x:v>208335</x:v>
      </x:c>
      <x:c r="B567" s="11" t="str">
        <x:v>Hike for Health II Q - Marquam</x:v>
      </x:c>
      <x:c r="C567" s="11" t="str">
        <x:v>Marquam Nature Park Shelter,  SW Marquam St, Portland, OR 97201</x:v>
      </x:c>
      <x:c r="D567" s="11" t="str">
        <x:v>Hiking &amp; Walking</x:v>
      </x:c>
      <x:c r="E567" s="8" t="str">
        <x:v>undated</x:v>
      </x:c>
      <x:c r="F567" s="8" t="str">
        <x:v>2026-11-03</x:v>
      </x:c>
      <x:c r="G567" s="8" t="str"/>
      <x:c r="H567" s="8" t="n">
        <x:v>0</x:v>
      </x:c>
      <x:c r="I567" s="8"/>
      <x:c r="J567" s="8" t="n">
        <x:v>12</x:v>
      </x:c>
      <x:c r="K567" s="8" t="str">
        <x:v>unverified-denominator</x:v>
      </x:c>
      <x:c r="L567" s="8" t="d">
        <x:v>2026-09-16T05:12:38.111Z</x:v>
      </x:c>
      <x:c r="M567" s="8" t="str">
        <x:v>https://apm.activecommunities.com/portlandparks/Activity_Search/hike-for-health-ii-q---marquam/208335?locale=en-US</x:v>
      </x:c>
    </x:row>
    <x:row r="568" ht="38" customHeight="1">
      <x:c r="A568" s="7" t="str">
        <x:v>208332</x:v>
      </x:c>
      <x:c r="B568" s="12" t="str">
        <x:v>Hike for Health II Q - Mt Tabor</x:v>
      </x:c>
      <x:c r="C568" s="12" t="str">
        <x:v>Mt Tabor Visitors Center, SE Salmon Way and, SE Park Dr, Portland, OR 97215</x:v>
      </x:c>
      <x:c r="D568" s="12" t="str">
        <x:v>Hiking &amp; Walking</x:v>
      </x:c>
      <x:c r="E568" s="7" t="str">
        <x:v>undated</x:v>
      </x:c>
      <x:c r="F568" s="7" t="str">
        <x:v>2026-10-05</x:v>
      </x:c>
      <x:c r="G568" s="7" t="str"/>
      <x:c r="H568" s="7" t="n">
        <x:v>6</x:v>
      </x:c>
      <x:c r="I568" s="7"/>
      <x:c r="J568" s="7" t="n">
        <x:v>12</x:v>
      </x:c>
      <x:c r="K568" s="7" t="str">
        <x:v>unverified-denominator</x:v>
      </x:c>
      <x:c r="L568" s="7" t="d">
        <x:v>2026-09-16T05:12:38.111Z</x:v>
      </x:c>
      <x:c r="M568" s="7" t="str">
        <x:v>https://apm.activecommunities.com/portlandparks/Activity_Search/hike-for-health-ii-q---mt-tabor/208332?locale=en-US</x:v>
      </x:c>
    </x:row>
    <x:row r="569" ht="38" customHeight="1">
      <x:c r="A569" s="8" t="str">
        <x:v>208333</x:v>
      </x:c>
      <x:c r="B569" s="11" t="str">
        <x:v>Hike for Health II Q - Mt Tabor</x:v>
      </x:c>
      <x:c r="C569" s="11" t="str">
        <x:v>Mt Tabor Visitors Center, SE Salmon Way and, SE Park Dr, Portland, OR 97215</x:v>
      </x:c>
      <x:c r="D569" s="11" t="str">
        <x:v>Hiking &amp; Walking</x:v>
      </x:c>
      <x:c r="E569" s="8" t="str">
        <x:v>undated</x:v>
      </x:c>
      <x:c r="F569" s="8" t="str">
        <x:v>2026-11-02</x:v>
      </x:c>
      <x:c r="G569" s="8" t="str"/>
      <x:c r="H569" s="8" t="n">
        <x:v>0</x:v>
      </x:c>
      <x:c r="I569" s="8"/>
      <x:c r="J569" s="8" t="n">
        <x:v>12</x:v>
      </x:c>
      <x:c r="K569" s="8" t="str">
        <x:v>unverified-denominator</x:v>
      </x:c>
      <x:c r="L569" s="8" t="d">
        <x:v>2026-09-16T05:12:38.111Z</x:v>
      </x:c>
      <x:c r="M569" s="8" t="str">
        <x:v>https://apm.activecommunities.com/portlandparks/Activity_Search/hike-for-health-ii-q---mt-tabor/208333?locale=en-US</x:v>
      </x:c>
    </x:row>
    <x:row r="570" ht="38" customHeight="1">
      <x:c r="A570" s="7" t="str">
        <x:v>201821</x:v>
      </x:c>
      <x:c r="B570" s="12" t="str">
        <x:v>Hike for Health III - The Ponds</x:v>
      </x:c>
      <x:c r="C570" s="12" t="str">
        <x:v>East Portland Community Center</x:v>
      </x:c>
      <x:c r="D570" s="12" t="str">
        <x:v>Hiking &amp; Walking</x:v>
      </x:c>
      <x:c r="E570" s="7" t="str">
        <x:v>undated</x:v>
      </x:c>
      <x:c r="F570" s="7" t="str">
        <x:v>2026-09-17</x:v>
      </x:c>
      <x:c r="G570" s="7" t="str"/>
      <x:c r="H570" s="7" t="n">
        <x:v>6</x:v>
      </x:c>
      <x:c r="I570" s="7"/>
      <x:c r="J570" s="7" t="n">
        <x:v>10</x:v>
      </x:c>
      <x:c r="K570" s="7" t="str">
        <x:v>unverified-denominator</x:v>
      </x:c>
      <x:c r="L570" s="7" t="d">
        <x:v>2026-09-16T05:12:38.111Z</x:v>
      </x:c>
      <x:c r="M570" s="7" t="str">
        <x:v>https://apm.activecommunities.com/portlandparks/Activity_Search/hike-for-health-iii---the-ponds/201821?locale=en-US</x:v>
      </x:c>
    </x:row>
    <x:row r="571" ht="38" customHeight="1">
      <x:c r="A571" s="8" t="str">
        <x:v>201802</x:v>
      </x:c>
      <x:c r="B571" s="11" t="str">
        <x:v>Hike for Health III- Divide Trail</x:v>
      </x:c>
      <x:c r="C571" s="11" t="str">
        <x:v>East Portland Community Center</x:v>
      </x:c>
      <x:c r="D571" s="11" t="str">
        <x:v>Hiking &amp; Walking</x:v>
      </x:c>
      <x:c r="E571" s="8" t="str">
        <x:v>undated</x:v>
      </x:c>
      <x:c r="F571" s="8" t="str">
        <x:v>2026-09-22</x:v>
      </x:c>
      <x:c r="G571" s="8" t="str"/>
      <x:c r="H571" s="8" t="n">
        <x:v>4</x:v>
      </x:c>
      <x:c r="I571" s="8"/>
      <x:c r="J571" s="8" t="n">
        <x:v>10</x:v>
      </x:c>
      <x:c r="K571" s="8" t="str">
        <x:v>unverified-denominator</x:v>
      </x:c>
      <x:c r="L571" s="8" t="d">
        <x:v>2026-09-16T05:12:38.111Z</x:v>
      </x:c>
      <x:c r="M571" s="8" t="str">
        <x:v>https://apm.activecommunities.com/portlandparks/Activity_Search/hike-for-health-iii--divide-trail/201802?locale=en-US</x:v>
      </x:c>
    </x:row>
    <x:row r="572" ht="38" customHeight="1">
      <x:c r="A572" s="7" t="str">
        <x:v>207617</x:v>
      </x:c>
      <x:c r="B572" s="12" t="str">
        <x:v>Hiking &amp; Walking - Program Orientation</x:v>
      </x:c>
      <x:c r="C572" s="12" t="str">
        <x:v>Matt Dishman Community Center</x:v>
      </x:c>
      <x:c r="D572" s="12" t="str">
        <x:v>Hiking &amp; Walking</x:v>
      </x:c>
      <x:c r="E572" s="7" t="str">
        <x:v>undated</x:v>
      </x:c>
      <x:c r="F572" s="7" t="str">
        <x:v>2026-10-06</x:v>
      </x:c>
      <x:c r="G572" s="7" t="str"/>
      <x:c r="H572" s="7" t="n">
        <x:v>3</x:v>
      </x:c>
      <x:c r="I572" s="7"/>
      <x:c r="J572" s="7" t="n">
        <x:v>20</x:v>
      </x:c>
      <x:c r="K572" s="7" t="str">
        <x:v>unverified-denominator</x:v>
      </x:c>
      <x:c r="L572" s="7" t="d">
        <x:v>2026-09-16T05:12:38.111Z</x:v>
      </x:c>
      <x:c r="M572" s="7" t="str">
        <x:v>https://apm.activecommunities.com/portlandparks/Activity_Search/hiking-walking---program-orientation/207617?locale=en-US</x:v>
      </x:c>
    </x:row>
    <x:row r="573" ht="38" customHeight="1">
      <x:c r="A573" s="8" t="str">
        <x:v>201968</x:v>
      </x:c>
      <x:c r="B573" s="11" t="str">
        <x:v>Jazz Dance - First Steps</x:v>
      </x:c>
      <x:c r="C573" s="11" t="str">
        <x:v>Peninsula Park Cmty Ctr</x:v>
      </x:c>
      <x:c r="D573" s="11" t="str">
        <x:v>Dance</x:v>
      </x:c>
      <x:c r="E573" s="8" t="str">
        <x:v>active</x:v>
      </x:c>
      <x:c r="F573" s="8" t="str">
        <x:v>2026-08-31</x:v>
      </x:c>
      <x:c r="G573" s="8" t="str">
        <x:v>2026-09-21</x:v>
      </x:c>
      <x:c r="H573" s="8" t="n">
        <x:v>11</x:v>
      </x:c>
      <x:c r="I573" s="8" t="n">
        <x:v>5</x:v>
      </x:c>
      <x:c r="J573" s="8" t="n">
        <x:v>12</x:v>
      </x:c>
      <x:c r="K573" s="8" t="str">
        <x:v>unverified-denominator</x:v>
      </x:c>
      <x:c r="L573" s="8" t="d">
        <x:v>2026-09-16T05:12:38.111Z</x:v>
      </x:c>
      <x:c r="M573" s="8" t="str">
        <x:v>https://apm.activecommunities.com/portlandparks/Activity_Search/jazz-dance---first-steps/201968?locale=en-US</x:v>
      </x:c>
    </x:row>
    <x:row r="574" ht="38" customHeight="1">
      <x:c r="A574" s="7" t="str">
        <x:v>201969</x:v>
      </x:c>
      <x:c r="B574" s="12" t="str">
        <x:v>Jazz Dance - First Steps</x:v>
      </x:c>
      <x:c r="C574" s="12" t="str">
        <x:v>Peninsula Park Cmty Ctr</x:v>
      </x:c>
      <x:c r="D574" s="12" t="str">
        <x:v>Dance</x:v>
      </x:c>
      <x:c r="E574" s="7" t="str">
        <x:v>active</x:v>
      </x:c>
      <x:c r="F574" s="7" t="str">
        <x:v>2026-08-31</x:v>
      </x:c>
      <x:c r="G574" s="7" t="str">
        <x:v>2026-09-21</x:v>
      </x:c>
      <x:c r="H574" s="7" t="n">
        <x:v>9</x:v>
      </x:c>
      <x:c r="I574" s="7" t="n">
        <x:v>4</x:v>
      </x:c>
      <x:c r="J574" s="7" t="n">
        <x:v>12</x:v>
      </x:c>
      <x:c r="K574" s="7" t="str">
        <x:v>unverified-denominator</x:v>
      </x:c>
      <x:c r="L574" s="7" t="d">
        <x:v>2026-09-16T05:12:38.111Z</x:v>
      </x:c>
      <x:c r="M574" s="7" t="str">
        <x:v>https://apm.activecommunities.com/portlandparks/Activity_Search/jazz-dance---first-steps/201969?locale=en-US</x:v>
      </x:c>
    </x:row>
    <x:row r="575" ht="38" customHeight="1">
      <x:c r="A575" s="8" t="str">
        <x:v>208086</x:v>
      </x:c>
      <x:c r="B575" s="11" t="str">
        <x:v>Jazz Dance - First Steps</x:v>
      </x:c>
      <x:c r="C575" s="11" t="str">
        <x:v>Peninsula Park Cmty Ctr</x:v>
      </x:c>
      <x:c r="D575" s="11" t="str">
        <x:v>Dance</x:v>
      </x:c>
      <x:c r="E575" s="8" t="str">
        <x:v>future</x:v>
      </x:c>
      <x:c r="F575" s="8" t="str">
        <x:v>2026-09-28</x:v>
      </x:c>
      <x:c r="G575" s="8" t="str">
        <x:v>2026-10-26</x:v>
      </x:c>
      <x:c r="H575" s="8" t="n">
        <x:v>11</x:v>
      </x:c>
      <x:c r="I575" s="8" t="n">
        <x:v>6</x:v>
      </x:c>
      <x:c r="J575" s="8" t="n">
        <x:v>12</x:v>
      </x:c>
      <x:c r="K575" s="8" t="str">
        <x:v>unverified-denominator</x:v>
      </x:c>
      <x:c r="L575" s="8" t="d">
        <x:v>2026-09-16T05:12:38.111Z</x:v>
      </x:c>
      <x:c r="M575" s="8" t="str">
        <x:v>https://apm.activecommunities.com/portlandparks/Activity_Search/jazz-dance---first-steps/208086?locale=en-US</x:v>
      </x:c>
    </x:row>
    <x:row r="576" ht="38" customHeight="1">
      <x:c r="A576" s="7" t="str">
        <x:v>208087</x:v>
      </x:c>
      <x:c r="B576" s="12" t="str">
        <x:v>Jazz Dance - First Steps</x:v>
      </x:c>
      <x:c r="C576" s="12" t="str">
        <x:v>Peninsula Park Cmty Ctr</x:v>
      </x:c>
      <x:c r="D576" s="12" t="str">
        <x:v>Dance</x:v>
      </x:c>
      <x:c r="E576" s="7" t="str">
        <x:v>future</x:v>
      </x:c>
      <x:c r="F576" s="7" t="str">
        <x:v>2026-11-02</x:v>
      </x:c>
      <x:c r="G576" s="7" t="str">
        <x:v>2026-12-07</x:v>
      </x:c>
      <x:c r="H576" s="7" t="n">
        <x:v>0</x:v>
      </x:c>
      <x:c r="I576" s="7"/>
      <x:c r="J576" s="7" t="n">
        <x:v>12</x:v>
      </x:c>
      <x:c r="K576" s="7" t="str">
        <x:v>unverified-denominator</x:v>
      </x:c>
      <x:c r="L576" s="7" t="d">
        <x:v>2026-09-16T05:12:38.111Z</x:v>
      </x:c>
      <x:c r="M576" s="7" t="str">
        <x:v>https://apm.activecommunities.com/portlandparks/Activity_Search/jazz-dance---first-steps/208087?locale=en-US</x:v>
      </x:c>
    </x:row>
    <x:row r="577" ht="38" customHeight="1">
      <x:c r="A577" s="8" t="str">
        <x:v>208000</x:v>
      </x:c>
      <x:c r="B577" s="11" t="str">
        <x:v>Jewelry/Metalsmithing - Boxes &amp; Lockets</x:v>
      </x:c>
      <x:c r="C577" s="11" t="str">
        <x:v>Multnomah Arts Ctr</x:v>
      </x:c>
      <x:c r="D577" s="11" t="str">
        <x:v>Arts &amp; Crafts - Jewelry</x:v>
      </x:c>
      <x:c r="E577" s="8" t="str">
        <x:v>future</x:v>
      </x:c>
      <x:c r="F577" s="8" t="str">
        <x:v>2026-09-29</x:v>
      </x:c>
      <x:c r="G577" s="8" t="str">
        <x:v>2026-12-01</x:v>
      </x:c>
      <x:c r="H577" s="8" t="n">
        <x:v>10</x:v>
      </x:c>
      <x:c r="I577" s="8" t="n">
        <x:v>10</x:v>
      </x:c>
      <x:c r="J577" s="8" t="n">
        <x:v>10</x:v>
      </x:c>
      <x:c r="K577" s="8" t="str">
        <x:v>unverified-denominator</x:v>
      </x:c>
      <x:c r="L577" s="8" t="d">
        <x:v>2026-09-16T05:12:38.111Z</x:v>
      </x:c>
      <x:c r="M577" s="8" t="str">
        <x:v>https://apm.activecommunities.com/portlandparks/Activity_Search/jewelry-metalsmithing---boxes-lockets/208000?locale=en-US</x:v>
      </x:c>
    </x:row>
    <x:row r="578" ht="38" customHeight="1">
      <x:c r="A578" s="7" t="str">
        <x:v>207512</x:v>
      </x:c>
      <x:c r="B578" s="12" t="str">
        <x:v>Jewelry/Metalsmithing - Casting: Centrifugal</x:v>
      </x:c>
      <x:c r="C578" s="12" t="str">
        <x:v>Multnomah Arts Ctr</x:v>
      </x:c>
      <x:c r="D578" s="12" t="str">
        <x:v>Arts &amp; Crafts - Jewelry</x:v>
      </x:c>
      <x:c r="E578" s="7" t="str">
        <x:v>future</x:v>
      </x:c>
      <x:c r="F578" s="7" t="str">
        <x:v>2026-10-01</x:v>
      </x:c>
      <x:c r="G578" s="7" t="str">
        <x:v>2026-12-10</x:v>
      </x:c>
      <x:c r="H578" s="7" t="n">
        <x:v>10</x:v>
      </x:c>
      <x:c r="I578" s="7" t="n">
        <x:v>15</x:v>
      </x:c>
      <x:c r="J578" s="7" t="n">
        <x:v>10</x:v>
      </x:c>
      <x:c r="K578" s="7" t="str">
        <x:v>unverified-denominator</x:v>
      </x:c>
      <x:c r="L578" s="7" t="d">
        <x:v>2026-09-16T05:12:38.111Z</x:v>
      </x:c>
      <x:c r="M578" s="7" t="str">
        <x:v>https://apm.activecommunities.com/portlandparks/Activity_Search/jewelry-metalsmithing---casting-centrifugal/207512?locale=en-US</x:v>
      </x:c>
    </x:row>
    <x:row r="579" ht="38" customHeight="1">
      <x:c r="A579" s="8" t="str">
        <x:v>207511</x:v>
      </x:c>
      <x:c r="B579" s="11" t="str">
        <x:v>Jewelry/Metalsmithing - Casting: Nature</x:v>
      </x:c>
      <x:c r="C579" s="11" t="str">
        <x:v>Multnomah Arts Ctr</x:v>
      </x:c>
      <x:c r="D579" s="11" t="str">
        <x:v>Arts &amp; Crafts - Jewelry</x:v>
      </x:c>
      <x:c r="E579" s="8" t="str">
        <x:v>future</x:v>
      </x:c>
      <x:c r="F579" s="8" t="str">
        <x:v>2026-09-30</x:v>
      </x:c>
      <x:c r="G579" s="8" t="str">
        <x:v>2026-12-09</x:v>
      </x:c>
      <x:c r="H579" s="8" t="n">
        <x:v>10</x:v>
      </x:c>
      <x:c r="I579" s="8" t="n">
        <x:v>10</x:v>
      </x:c>
      <x:c r="J579" s="8" t="n">
        <x:v>10</x:v>
      </x:c>
      <x:c r="K579" s="8" t="str">
        <x:v>unverified-denominator</x:v>
      </x:c>
      <x:c r="L579" s="8" t="d">
        <x:v>2026-09-16T05:12:38.111Z</x:v>
      </x:c>
      <x:c r="M579" s="8" t="str">
        <x:v>https://apm.activecommunities.com/portlandparks/Activity_Search/jewelry-metalsmithing---casting-nature/207511?locale=en-US</x:v>
      </x:c>
    </x:row>
    <x:row r="580" ht="38" customHeight="1">
      <x:c r="A580" s="7" t="str">
        <x:v>207996</x:v>
      </x:c>
      <x:c r="B580" s="12" t="str">
        <x:v>Jewelry/Metalsmithing - Chains &amp; Links Workshop</x:v>
      </x:c>
      <x:c r="C580" s="12" t="str">
        <x:v>Multnomah Arts Ctr</x:v>
      </x:c>
      <x:c r="D580" s="12" t="str">
        <x:v>Arts &amp; Crafts - Jewelry</x:v>
      </x:c>
      <x:c r="E580" s="7" t="str">
        <x:v>undated</x:v>
      </x:c>
      <x:c r="F580" s="7" t="str">
        <x:v>2026-11-07</x:v>
      </x:c>
      <x:c r="G580" s="7" t="str"/>
      <x:c r="H580" s="7" t="n">
        <x:v>0</x:v>
      </x:c>
      <x:c r="I580" s="7"/>
      <x:c r="J580" s="7" t="n">
        <x:v>10</x:v>
      </x:c>
      <x:c r="K580" s="7" t="str">
        <x:v>unverified-denominator</x:v>
      </x:c>
      <x:c r="L580" s="7" t="d">
        <x:v>2026-09-16T05:12:38.111Z</x:v>
      </x:c>
      <x:c r="M580" s="7" t="str">
        <x:v>https://apm.activecommunities.com/portlandparks/Activity_Search/jewelry-metalsmithing---chains-links-workshop/207996?locale=en-US</x:v>
      </x:c>
    </x:row>
    <x:row r="581" ht="38" customHeight="1">
      <x:c r="A581" s="8" t="str">
        <x:v>207523</x:v>
      </x:c>
      <x:c r="B581" s="11" t="str">
        <x:v>Jewelry/Metalsmithing - Chasing &amp; Repousse</x:v>
      </x:c>
      <x:c r="C581" s="11" t="str">
        <x:v>Multnomah Arts Ctr</x:v>
      </x:c>
      <x:c r="D581" s="11" t="str">
        <x:v>Arts &amp; Crafts - Jewelry</x:v>
      </x:c>
      <x:c r="E581" s="8" t="str">
        <x:v>future</x:v>
      </x:c>
      <x:c r="F581" s="8" t="str">
        <x:v>2026-10-01</x:v>
      </x:c>
      <x:c r="G581" s="8" t="str">
        <x:v>2026-12-10</x:v>
      </x:c>
      <x:c r="H581" s="8" t="n">
        <x:v>10</x:v>
      </x:c>
      <x:c r="I581" s="8" t="n">
        <x:v>5</x:v>
      </x:c>
      <x:c r="J581" s="8" t="n">
        <x:v>10</x:v>
      </x:c>
      <x:c r="K581" s="8" t="str">
        <x:v>unverified-denominator</x:v>
      </x:c>
      <x:c r="L581" s="8" t="d">
        <x:v>2026-09-16T05:12:38.111Z</x:v>
      </x:c>
      <x:c r="M581" s="8" t="str">
        <x:v>https://apm.activecommunities.com/portlandparks/Activity_Search/jewelry-metalsmithing---chasing-repousse/207523?locale=en-US</x:v>
      </x:c>
    </x:row>
    <x:row r="582" ht="38" customHeight="1">
      <x:c r="A582" s="7" t="str">
        <x:v>207999</x:v>
      </x:c>
      <x:c r="B582" s="12" t="str">
        <x:v>Jewelry/Metalsmithing - Foolproof Flush Setting</x:v>
      </x:c>
      <x:c r="C582" s="12" t="str">
        <x:v>Multnomah Arts Ctr</x:v>
      </x:c>
      <x:c r="D582" s="12" t="str">
        <x:v>Arts &amp; Crafts - Jewelry</x:v>
      </x:c>
      <x:c r="E582" s="7" t="str">
        <x:v>undated</x:v>
      </x:c>
      <x:c r="F582" s="7" t="str">
        <x:v>2026-10-02</x:v>
      </x:c>
      <x:c r="G582" s="7" t="str"/>
      <x:c r="H582" s="7" t="n">
        <x:v>11</x:v>
      </x:c>
      <x:c r="I582" s="7" t="n">
        <x:v>10</x:v>
      </x:c>
      <x:c r="J582" s="7" t="n">
        <x:v>10</x:v>
      </x:c>
      <x:c r="K582" s="7" t="str">
        <x:v>unverified-denominator</x:v>
      </x:c>
      <x:c r="L582" s="7" t="d">
        <x:v>2026-09-16T05:12:38.111Z</x:v>
      </x:c>
      <x:c r="M582" s="7" t="str">
        <x:v>https://apm.activecommunities.com/portlandparks/Activity_Search/jewelry-metalsmithing---foolproof-flush-setting/207999?locale=en-US</x:v>
      </x:c>
    </x:row>
    <x:row r="583" ht="38" customHeight="1">
      <x:c r="A583" s="8" t="str">
        <x:v>207515</x:v>
      </x:c>
      <x:c r="B583" s="11" t="str">
        <x:v>Jewelry/Metalsmithing - Forged Bangles</x:v>
      </x:c>
      <x:c r="C583" s="11" t="str">
        <x:v>Multnomah Arts Ctr</x:v>
      </x:c>
      <x:c r="D583" s="11" t="str">
        <x:v>Arts &amp; Crafts - Jewelry</x:v>
      </x:c>
      <x:c r="E583" s="8" t="str">
        <x:v>undated</x:v>
      </x:c>
      <x:c r="F583" s="8" t="str">
        <x:v>2026-10-03</x:v>
      </x:c>
      <x:c r="G583" s="8" t="str"/>
      <x:c r="H583" s="8" t="n">
        <x:v>10</x:v>
      </x:c>
      <x:c r="I583" s="8" t="n">
        <x:v>5</x:v>
      </x:c>
      <x:c r="J583" s="8" t="n">
        <x:v>10</x:v>
      </x:c>
      <x:c r="K583" s="8" t="str">
        <x:v>unverified-denominator</x:v>
      </x:c>
      <x:c r="L583" s="8" t="d">
        <x:v>2026-09-16T05:12:38.111Z</x:v>
      </x:c>
      <x:c r="M583" s="8" t="str">
        <x:v>https://apm.activecommunities.com/portlandparks/Activity_Search/jewelry-metalsmithing---forged-bangles/207515?locale=en-US</x:v>
      </x:c>
    </x:row>
    <x:row r="584" ht="38" customHeight="1">
      <x:c r="A584" s="7" t="str">
        <x:v>207998</x:v>
      </x:c>
      <x:c r="B584" s="12" t="str">
        <x:v>Jewelry/Metalsmithing - Handmade Bells</x:v>
      </x:c>
      <x:c r="C584" s="12" t="str">
        <x:v>Multnomah Arts Ctr</x:v>
      </x:c>
      <x:c r="D584" s="12" t="str">
        <x:v>Arts &amp; Crafts - Jewelry</x:v>
      </x:c>
      <x:c r="E584" s="7" t="str">
        <x:v>undated</x:v>
      </x:c>
      <x:c r="F584" s="7" t="str">
        <x:v>2026-12-11</x:v>
      </x:c>
      <x:c r="G584" s="7" t="str"/>
      <x:c r="H584" s="7" t="n">
        <x:v>0</x:v>
      </x:c>
      <x:c r="I584" s="7"/>
      <x:c r="J584" s="7" t="n">
        <x:v>10</x:v>
      </x:c>
      <x:c r="K584" s="7" t="str">
        <x:v>unverified-denominator</x:v>
      </x:c>
      <x:c r="L584" s="7" t="d">
        <x:v>2026-09-16T05:12:38.111Z</x:v>
      </x:c>
      <x:c r="M584" s="7" t="str">
        <x:v>https://apm.activecommunities.com/portlandparks/Activity_Search/jewelry-metalsmithing---handmade-bells/207998?locale=en-US</x:v>
      </x:c>
    </x:row>
    <x:row r="585" ht="38" customHeight="1">
      <x:c r="A585" s="8" t="str">
        <x:v>207514</x:v>
      </x:c>
      <x:c r="B585" s="11" t="str">
        <x:v>Jewelry/Metalsmithing - Independent Study</x:v>
      </x:c>
      <x:c r="C585" s="11" t="str">
        <x:v>Multnomah Arts Ctr</x:v>
      </x:c>
      <x:c r="D585" s="11" t="str">
        <x:v>Arts &amp; Crafts - Jewelry</x:v>
      </x:c>
      <x:c r="E585" s="8" t="str">
        <x:v>future</x:v>
      </x:c>
      <x:c r="F585" s="8" t="str">
        <x:v>2026-09-30</x:v>
      </x:c>
      <x:c r="G585" s="8" t="str">
        <x:v>2026-12-09</x:v>
      </x:c>
      <x:c r="H585" s="8" t="n">
        <x:v>10</x:v>
      </x:c>
      <x:c r="I585" s="8" t="n">
        <x:v>11</x:v>
      </x:c>
      <x:c r="J585" s="8" t="n">
        <x:v>10</x:v>
      </x:c>
      <x:c r="K585" s="8" t="str">
        <x:v>unverified-denominator</x:v>
      </x:c>
      <x:c r="L585" s="8" t="d">
        <x:v>2026-09-16T05:12:38.111Z</x:v>
      </x:c>
      <x:c r="M585" s="8" t="str">
        <x:v>https://apm.activecommunities.com/portlandparks/Activity_Search/jewelry-metalsmithing---independent-study/207514?locale=en-US</x:v>
      </x:c>
    </x:row>
    <x:row r="586" ht="38" customHeight="1">
      <x:c r="A586" s="7" t="str">
        <x:v>207995</x:v>
      </x:c>
      <x:c r="B586" s="12" t="str">
        <x:v>Jewelry/Metalsmithing - Pendant in a Day</x:v>
      </x:c>
      <x:c r="C586" s="12" t="str">
        <x:v>Multnomah Arts Ctr</x:v>
      </x:c>
      <x:c r="D586" s="12" t="str">
        <x:v>Arts &amp; Crafts - Jewelry</x:v>
      </x:c>
      <x:c r="E586" s="7" t="str">
        <x:v>undated</x:v>
      </x:c>
      <x:c r="F586" s="7" t="str">
        <x:v>2026-10-24</x:v>
      </x:c>
      <x:c r="G586" s="7" t="str"/>
      <x:c r="H586" s="7" t="n">
        <x:v>9</x:v>
      </x:c>
      <x:c r="I586" s="7" t="n">
        <x:v>10</x:v>
      </x:c>
      <x:c r="J586" s="7" t="n">
        <x:v>10</x:v>
      </x:c>
      <x:c r="K586" s="7" t="str">
        <x:v>unverified-denominator</x:v>
      </x:c>
      <x:c r="L586" s="7" t="d">
        <x:v>2026-09-16T05:12:38.111Z</x:v>
      </x:c>
      <x:c r="M586" s="7" t="str">
        <x:v>https://apm.activecommunities.com/portlandparks/Activity_Search/jewelry-metalsmithing---pendant-in-a-day/207995?locale=en-US</x:v>
      </x:c>
    </x:row>
    <x:row r="587" ht="38" customHeight="1">
      <x:c r="A587" s="8" t="str">
        <x:v>207994</x:v>
      </x:c>
      <x:c r="B587" s="11" t="str">
        <x:v>Jewelry/Metalsmithing - River Rock &amp; Sea Glass</x:v>
      </x:c>
      <x:c r="C587" s="11" t="str">
        <x:v>Multnomah Arts Ctr</x:v>
      </x:c>
      <x:c r="D587" s="11" t="str">
        <x:v>Arts &amp; Crafts - Jewelry</x:v>
      </x:c>
      <x:c r="E587" s="8" t="str">
        <x:v>undated</x:v>
      </x:c>
      <x:c r="F587" s="8" t="str">
        <x:v>2026-10-31</x:v>
      </x:c>
      <x:c r="G587" s="8" t="str"/>
      <x:c r="H587" s="8" t="n">
        <x:v>10</x:v>
      </x:c>
      <x:c r="I587" s="8" t="n">
        <x:v>7</x:v>
      </x:c>
      <x:c r="J587" s="8" t="n">
        <x:v>10</x:v>
      </x:c>
      <x:c r="K587" s="8" t="str">
        <x:v>unverified-denominator</x:v>
      </x:c>
      <x:c r="L587" s="8" t="d">
        <x:v>2026-09-16T05:12:38.111Z</x:v>
      </x:c>
      <x:c r="M587" s="8" t="str">
        <x:v>https://apm.activecommunities.com/portlandparks/Activity_Search/jewelry-metalsmithing---river-rock-sea-glass/207994?locale=en-US</x:v>
      </x:c>
    </x:row>
    <x:row r="588" ht="38" customHeight="1">
      <x:c r="A588" s="7" t="str">
        <x:v>207513</x:v>
      </x:c>
      <x:c r="B588" s="12" t="str">
        <x:v>Jewelry/Metalsmithing - Stonesetting: Classic Basket</x:v>
      </x:c>
      <x:c r="C588" s="12" t="str">
        <x:v>Multnomah Arts Ctr</x:v>
      </x:c>
      <x:c r="D588" s="12" t="str">
        <x:v>Arts &amp; Crafts - Jewelry</x:v>
      </x:c>
      <x:c r="E588" s="7" t="str">
        <x:v>future</x:v>
      </x:c>
      <x:c r="F588" s="7" t="str">
        <x:v>2026-11-13</x:v>
      </x:c>
      <x:c r="G588" s="7" t="str">
        <x:v>2026-11-14</x:v>
      </x:c>
      <x:c r="H588" s="7" t="n">
        <x:v>0</x:v>
      </x:c>
      <x:c r="I588" s="7"/>
      <x:c r="J588" s="7" t="n">
        <x:v>10</x:v>
      </x:c>
      <x:c r="K588" s="7" t="str">
        <x:v>unverified-denominator</x:v>
      </x:c>
      <x:c r="L588" s="7" t="d">
        <x:v>2026-09-16T05:12:38.111Z</x:v>
      </x:c>
      <x:c r="M588" s="7" t="str">
        <x:v>https://apm.activecommunities.com/portlandparks/Activity_Search/jewelry-metalsmithing---stonesetting-classic-basket/207513?locale=en-US</x:v>
      </x:c>
    </x:row>
    <x:row r="589" ht="38" customHeight="1">
      <x:c r="A589" s="8" t="str">
        <x:v>207518</x:v>
      </x:c>
      <x:c r="B589" s="11" t="str">
        <x:v>Jewelry/Metalsmithing - Youth: Metalsmithing I</x:v>
      </x:c>
      <x:c r="C589" s="11" t="str">
        <x:v>Multnomah Arts Ctr</x:v>
      </x:c>
      <x:c r="D589" s="11" t="str">
        <x:v>Arts &amp; Crafts - Jewelry</x:v>
      </x:c>
      <x:c r="E589" s="8" t="str">
        <x:v>future</x:v>
      </x:c>
      <x:c r="F589" s="8" t="str">
        <x:v>2026-09-28</x:v>
      </x:c>
      <x:c r="G589" s="8" t="str">
        <x:v>2026-11-30</x:v>
      </x:c>
      <x:c r="H589" s="8" t="n">
        <x:v>6</x:v>
      </x:c>
      <x:c r="I589" s="8"/>
      <x:c r="J589" s="8" t="n">
        <x:v>8</x:v>
      </x:c>
      <x:c r="K589" s="8" t="str">
        <x:v>unverified-denominator</x:v>
      </x:c>
      <x:c r="L589" s="8" t="d">
        <x:v>2026-09-16T05:12:38.111Z</x:v>
      </x:c>
      <x:c r="M589" s="8" t="str">
        <x:v>https://apm.activecommunities.com/portlandparks/Activity_Search/jewelry-metalsmithing---youth-metalsmithing-i/207518?locale=en-US</x:v>
      </x:c>
    </x:row>
    <x:row r="590" ht="38" customHeight="1">
      <x:c r="A590" s="7" t="str">
        <x:v>207993</x:v>
      </x:c>
      <x:c r="B590" s="12" t="str">
        <x:v>Jewelry/Metalsmithing - Youth: Metalsmithing I</x:v>
      </x:c>
      <x:c r="C590" s="12" t="str">
        <x:v>Multnomah Arts Ctr</x:v>
      </x:c>
      <x:c r="D590" s="12" t="str">
        <x:v>Arts &amp; Crafts - Jewelry</x:v>
      </x:c>
      <x:c r="E590" s="7" t="str">
        <x:v>future</x:v>
      </x:c>
      <x:c r="F590" s="7" t="str">
        <x:v>2026-09-30</x:v>
      </x:c>
      <x:c r="G590" s="7" t="str">
        <x:v>2026-12-09</x:v>
      </x:c>
      <x:c r="H590" s="7" t="n">
        <x:v>5</x:v>
      </x:c>
      <x:c r="I590" s="7"/>
      <x:c r="J590" s="7" t="n">
        <x:v>8</x:v>
      </x:c>
      <x:c r="K590" s="7" t="str">
        <x:v>unverified-denominator</x:v>
      </x:c>
      <x:c r="L590" s="7" t="d">
        <x:v>2026-09-16T05:12:38.111Z</x:v>
      </x:c>
      <x:c r="M590" s="7" t="str">
        <x:v>https://apm.activecommunities.com/portlandparks/Activity_Search/jewelry-metalsmithing---youth-metalsmithing-i/207993?locale=en-US</x:v>
      </x:c>
    </x:row>
    <x:row r="591" ht="38" customHeight="1">
      <x:c r="A591" s="8" t="str">
        <x:v>207519</x:v>
      </x:c>
      <x:c r="B591" s="11" t="str">
        <x:v>Jewelry/Metalsmithing I - Intro to Fabrication</x:v>
      </x:c>
      <x:c r="C591" s="11" t="str">
        <x:v>Multnomah Arts Ctr</x:v>
      </x:c>
      <x:c r="D591" s="11" t="str">
        <x:v>Arts &amp; Crafts - Jewelry</x:v>
      </x:c>
      <x:c r="E591" s="8" t="str">
        <x:v>future</x:v>
      </x:c>
      <x:c r="F591" s="8" t="str">
        <x:v>2026-09-28</x:v>
      </x:c>
      <x:c r="G591" s="8" t="str">
        <x:v>2026-11-30</x:v>
      </x:c>
      <x:c r="H591" s="8" t="n">
        <x:v>10</x:v>
      </x:c>
      <x:c r="I591" s="8" t="n">
        <x:v>7</x:v>
      </x:c>
      <x:c r="J591" s="8" t="n">
        <x:v>10</x:v>
      </x:c>
      <x:c r="K591" s="8" t="str">
        <x:v>unverified-denominator</x:v>
      </x:c>
      <x:c r="L591" s="8" t="d">
        <x:v>2026-09-16T05:12:38.111Z</x:v>
      </x:c>
      <x:c r="M591" s="8" t="str">
        <x:v>https://apm.activecommunities.com/portlandparks/Activity_Search/jewelry-metalsmithing-i---intro-to-fabrication/207519?locale=en-US</x:v>
      </x:c>
    </x:row>
    <x:row r="592" ht="38" customHeight="1">
      <x:c r="A592" s="7" t="str">
        <x:v>207520</x:v>
      </x:c>
      <x:c r="B592" s="12" t="str">
        <x:v>Jewelry/Metalsmithing I - Intro to Fabrication</x:v>
      </x:c>
      <x:c r="C592" s="12" t="str">
        <x:v>Multnomah Arts Ctr</x:v>
      </x:c>
      <x:c r="D592" s="12" t="str">
        <x:v>Arts &amp; Crafts - Jewelry</x:v>
      </x:c>
      <x:c r="E592" s="7" t="str">
        <x:v>future</x:v>
      </x:c>
      <x:c r="F592" s="7" t="str">
        <x:v>2026-10-05</x:v>
      </x:c>
      <x:c r="G592" s="7" t="str">
        <x:v>2026-11-30</x:v>
      </x:c>
      <x:c r="H592" s="7" t="n">
        <x:v>10</x:v>
      </x:c>
      <x:c r="I592" s="7" t="n">
        <x:v>20</x:v>
      </x:c>
      <x:c r="J592" s="7" t="n">
        <x:v>10</x:v>
      </x:c>
      <x:c r="K592" s="7" t="str">
        <x:v>unverified-denominator</x:v>
      </x:c>
      <x:c r="L592" s="7" t="d">
        <x:v>2026-09-16T05:12:38.111Z</x:v>
      </x:c>
      <x:c r="M592" s="7" t="str">
        <x:v>https://apm.activecommunities.com/portlandparks/Activity_Search/jewelry-metalsmithing-i---intro-to-fabrication/207520?locale=en-US</x:v>
      </x:c>
    </x:row>
    <x:row r="593" ht="38" customHeight="1">
      <x:c r="A593" s="8" t="str">
        <x:v>207521</x:v>
      </x:c>
      <x:c r="B593" s="11" t="str">
        <x:v>Jewelry/Metalsmithing I - Intro to Fabrication</x:v>
      </x:c>
      <x:c r="C593" s="11" t="str">
        <x:v>Multnomah Arts Ctr</x:v>
      </x:c>
      <x:c r="D593" s="11" t="str">
        <x:v>Arts &amp; Crafts - Jewelry</x:v>
      </x:c>
      <x:c r="E593" s="8" t="str">
        <x:v>future</x:v>
      </x:c>
      <x:c r="F593" s="8" t="str">
        <x:v>2026-09-29</x:v>
      </x:c>
      <x:c r="G593" s="8" t="str">
        <x:v>2026-12-01</x:v>
      </x:c>
      <x:c r="H593" s="8" t="n">
        <x:v>10</x:v>
      </x:c>
      <x:c r="I593" s="8" t="n">
        <x:v>8</x:v>
      </x:c>
      <x:c r="J593" s="8" t="n">
        <x:v>10</x:v>
      </x:c>
      <x:c r="K593" s="8" t="str">
        <x:v>unverified-denominator</x:v>
      </x:c>
      <x:c r="L593" s="8" t="d">
        <x:v>2026-09-16T05:12:38.111Z</x:v>
      </x:c>
      <x:c r="M593" s="8" t="str">
        <x:v>https://apm.activecommunities.com/portlandparks/Activity_Search/jewelry-metalsmithing-i---intro-to-fabrication/207521?locale=en-US</x:v>
      </x:c>
    </x:row>
    <x:row r="594" ht="38" customHeight="1">
      <x:c r="A594" s="7" t="str">
        <x:v>207522</x:v>
      </x:c>
      <x:c r="B594" s="12" t="str">
        <x:v>Jewelry/Metalsmithing II - Surface &amp; Design</x:v>
      </x:c>
      <x:c r="C594" s="12" t="str">
        <x:v>Multnomah Arts Ctr</x:v>
      </x:c>
      <x:c r="D594" s="12" t="str">
        <x:v>Arts &amp; Crafts - Jewelry</x:v>
      </x:c>
      <x:c r="E594" s="7" t="str">
        <x:v>future</x:v>
      </x:c>
      <x:c r="F594" s="7" t="str">
        <x:v>2026-09-30</x:v>
      </x:c>
      <x:c r="G594" s="7" t="str">
        <x:v>2026-12-09</x:v>
      </x:c>
      <x:c r="H594" s="7" t="n">
        <x:v>10</x:v>
      </x:c>
      <x:c r="I594" s="7" t="n">
        <x:v>6</x:v>
      </x:c>
      <x:c r="J594" s="7" t="n">
        <x:v>10</x:v>
      </x:c>
      <x:c r="K594" s="7" t="str">
        <x:v>unverified-denominator</x:v>
      </x:c>
      <x:c r="L594" s="7" t="d">
        <x:v>2026-09-16T05:12:38.111Z</x:v>
      </x:c>
      <x:c r="M594" s="7" t="str">
        <x:v>https://apm.activecommunities.com/portlandparks/Activity_Search/jewelry-metalsmithing-ii---surface-design/207522?locale=en-US</x:v>
      </x:c>
    </x:row>
    <x:row r="595" ht="38" customHeight="1">
      <x:c r="A595" s="8" t="str">
        <x:v>207806</x:v>
      </x:c>
      <x:c r="B595" s="11" t="str">
        <x:v>KidSpace - Discover &amp; Explore</x:v>
      </x:c>
      <x:c r="C595" s="11" t="str">
        <x:v>East Portland Cmty Ctr</x:v>
      </x:c>
      <x:c r="D595" s="11" t="str">
        <x:v>Education</x:v>
      </x:c>
      <x:c r="E595" s="8" t="str">
        <x:v>future</x:v>
      </x:c>
      <x:c r="F595" s="8" t="str">
        <x:v>2026-09-28</x:v>
      </x:c>
      <x:c r="G595" s="8" t="str">
        <x:v>2026-12-07</x:v>
      </x:c>
      <x:c r="H595" s="8" t="n">
        <x:v>2</x:v>
      </x:c>
      <x:c r="I595" s="8"/>
      <x:c r="J595" s="8" t="n">
        <x:v>10</x:v>
      </x:c>
      <x:c r="K595" s="8" t="str">
        <x:v>unverified-denominator</x:v>
      </x:c>
      <x:c r="L595" s="8" t="d">
        <x:v>2026-09-16T05:12:38.111Z</x:v>
      </x:c>
      <x:c r="M595" s="8" t="str">
        <x:v>https://apm.activecommunities.com/portlandparks/Activity_Search/kidspace---discover-explore/207806?locale=en-US</x:v>
      </x:c>
    </x:row>
    <x:row r="596" ht="38" customHeight="1">
      <x:c r="A596" s="7" t="str">
        <x:v>207807</x:v>
      </x:c>
      <x:c r="B596" s="12" t="str">
        <x:v>KidSpace - Discover &amp; Explore</x:v>
      </x:c>
      <x:c r="C596" s="12" t="str">
        <x:v>East Portland Cmty Ctr</x:v>
      </x:c>
      <x:c r="D596" s="12" t="str">
        <x:v>Education</x:v>
      </x:c>
      <x:c r="E596" s="7" t="str">
        <x:v>future</x:v>
      </x:c>
      <x:c r="F596" s="7" t="str">
        <x:v>2026-09-29</x:v>
      </x:c>
      <x:c r="G596" s="7" t="str">
        <x:v>2026-12-01</x:v>
      </x:c>
      <x:c r="H596" s="7" t="n">
        <x:v>2</x:v>
      </x:c>
      <x:c r="I596" s="7"/>
      <x:c r="J596" s="7" t="n">
        <x:v>10</x:v>
      </x:c>
      <x:c r="K596" s="7" t="str">
        <x:v>unverified-denominator</x:v>
      </x:c>
      <x:c r="L596" s="7" t="d">
        <x:v>2026-09-16T05:12:38.111Z</x:v>
      </x:c>
      <x:c r="M596" s="7" t="str">
        <x:v>https://apm.activecommunities.com/portlandparks/Activity_Search/kidspace---discover-explore/207807?locale=en-US</x:v>
      </x:c>
    </x:row>
    <x:row r="597" ht="38" customHeight="1">
      <x:c r="A597" s="8" t="str">
        <x:v>207808</x:v>
      </x:c>
      <x:c r="B597" s="11" t="str">
        <x:v>KidSpace - Discover &amp; Explore</x:v>
      </x:c>
      <x:c r="C597" s="11" t="str">
        <x:v>East Portland Cmty Ctr</x:v>
      </x:c>
      <x:c r="D597" s="11" t="str">
        <x:v>Education</x:v>
      </x:c>
      <x:c r="E597" s="8" t="str">
        <x:v>future</x:v>
      </x:c>
      <x:c r="F597" s="8" t="str">
        <x:v>2026-09-30</x:v>
      </x:c>
      <x:c r="G597" s="8" t="str">
        <x:v>2026-12-09</x:v>
      </x:c>
      <x:c r="H597" s="8" t="n">
        <x:v>2</x:v>
      </x:c>
      <x:c r="I597" s="8"/>
      <x:c r="J597" s="8" t="n">
        <x:v>10</x:v>
      </x:c>
      <x:c r="K597" s="8" t="str">
        <x:v>unverified-denominator</x:v>
      </x:c>
      <x:c r="L597" s="8" t="d">
        <x:v>2026-09-16T05:12:38.111Z</x:v>
      </x:c>
      <x:c r="M597" s="8" t="str">
        <x:v>https://apm.activecommunities.com/portlandparks/Activity_Search/kidspace---discover-explore/207808?locale=en-US</x:v>
      </x:c>
    </x:row>
    <x:row r="598" ht="38" customHeight="1">
      <x:c r="A598" s="7" t="str">
        <x:v>207809</x:v>
      </x:c>
      <x:c r="B598" s="12" t="str">
        <x:v>KidSpace - Discover &amp; Explore</x:v>
      </x:c>
      <x:c r="C598" s="12" t="str">
        <x:v>East Portland Cmty Ctr</x:v>
      </x:c>
      <x:c r="D598" s="12" t="str">
        <x:v>Education</x:v>
      </x:c>
      <x:c r="E598" s="7" t="str">
        <x:v>future</x:v>
      </x:c>
      <x:c r="F598" s="7" t="str">
        <x:v>2026-10-01</x:v>
      </x:c>
      <x:c r="G598" s="7" t="str">
        <x:v>2026-12-10</x:v>
      </x:c>
      <x:c r="H598" s="7" t="n">
        <x:v>0</x:v>
      </x:c>
      <x:c r="I598" s="7"/>
      <x:c r="J598" s="7" t="n">
        <x:v>10</x:v>
      </x:c>
      <x:c r="K598" s="7" t="str">
        <x:v>unverified-denominator</x:v>
      </x:c>
      <x:c r="L598" s="7" t="d">
        <x:v>2026-09-16T05:12:38.111Z</x:v>
      </x:c>
      <x:c r="M598" s="7" t="str">
        <x:v>https://apm.activecommunities.com/portlandparks/Activity_Search/kidspace---discover-explore/207809?locale=en-US</x:v>
      </x:c>
    </x:row>
    <x:row r="599" ht="38" customHeight="1">
      <x:c r="A599" s="8" t="str">
        <x:v>207810</x:v>
      </x:c>
      <x:c r="B599" s="11" t="str">
        <x:v>KidSpace - Discover &amp; Explore</x:v>
      </x:c>
      <x:c r="C599" s="11" t="str">
        <x:v>East Portland Cmty Ctr</x:v>
      </x:c>
      <x:c r="D599" s="11" t="str">
        <x:v>Education</x:v>
      </x:c>
      <x:c r="E599" s="8" t="str">
        <x:v>future</x:v>
      </x:c>
      <x:c r="F599" s="8" t="str">
        <x:v>2026-10-02</x:v>
      </x:c>
      <x:c r="G599" s="8" t="str">
        <x:v>2026-12-11</x:v>
      </x:c>
      <x:c r="H599" s="8" t="n">
        <x:v>2</x:v>
      </x:c>
      <x:c r="I599" s="8"/>
      <x:c r="J599" s="8" t="n">
        <x:v>10</x:v>
      </x:c>
      <x:c r="K599" s="8" t="str">
        <x:v>unverified-denominator</x:v>
      </x:c>
      <x:c r="L599" s="8" t="d">
        <x:v>2026-09-16T05:12:38.111Z</x:v>
      </x:c>
      <x:c r="M599" s="8" t="str">
        <x:v>https://apm.activecommunities.com/portlandparks/Activity_Search/kidspace---discover-explore/207810?locale=en-US</x:v>
      </x:c>
    </x:row>
    <x:row r="600" ht="38" customHeight="1">
      <x:c r="A600" s="7" t="str">
        <x:v>208734</x:v>
      </x:c>
      <x:c r="B600" s="12" t="str">
        <x:v>KidSpace - Discover &amp; Explore</x:v>
      </x:c>
      <x:c r="C600" s="12" t="str">
        <x:v>St Johns Cmty Ctr</x:v>
      </x:c>
      <x:c r="D600" s="12" t="str">
        <x:v>Education</x:v>
      </x:c>
      <x:c r="E600" s="7" t="str">
        <x:v>future</x:v>
      </x:c>
      <x:c r="F600" s="7" t="str">
        <x:v>2026-10-01</x:v>
      </x:c>
      <x:c r="G600" s="7" t="str">
        <x:v>2026-12-10</x:v>
      </x:c>
      <x:c r="H600" s="7" t="n">
        <x:v>3</x:v>
      </x:c>
      <x:c r="I600" s="7"/>
      <x:c r="J600" s="7" t="n">
        <x:v>10</x:v>
      </x:c>
      <x:c r="K600" s="7" t="str">
        <x:v>unverified-denominator</x:v>
      </x:c>
      <x:c r="L600" s="7" t="d">
        <x:v>2026-09-16T05:12:38.111Z</x:v>
      </x:c>
      <x:c r="M600" s="7" t="str">
        <x:v>https://apm.activecommunities.com/portlandparks/Activity_Search/kidspace---discover-explore/208734?locale=en-US</x:v>
      </x:c>
    </x:row>
    <x:row r="601" ht="38" customHeight="1">
      <x:c r="A601" s="8" t="str">
        <x:v>207672</x:v>
      </x:c>
      <x:c r="B601" s="11" t="str">
        <x:v>Knitting - Stitching Together</x:v>
      </x:c>
      <x:c r="C601" s="11" t="str">
        <x:v>Woodstock Cmty Ctr</x:v>
      </x:c>
      <x:c r="D601" s="11" t="str">
        <x:v>Arts &amp; Crafts - Fiber &amp; Handcrafts</x:v>
      </x:c>
      <x:c r="E601" s="8" t="str">
        <x:v>future</x:v>
      </x:c>
      <x:c r="F601" s="8" t="str">
        <x:v>2026-09-28</x:v>
      </x:c>
      <x:c r="G601" s="8" t="str">
        <x:v>2026-10-26</x:v>
      </x:c>
      <x:c r="H601" s="8" t="n">
        <x:v>5</x:v>
      </x:c>
      <x:c r="I601" s="8"/>
      <x:c r="J601" s="8" t="n">
        <x:v>10</x:v>
      </x:c>
      <x:c r="K601" s="8" t="str">
        <x:v>unverified-denominator</x:v>
      </x:c>
      <x:c r="L601" s="8" t="d">
        <x:v>2026-09-16T05:12:38.111Z</x:v>
      </x:c>
      <x:c r="M601" s="8" t="str">
        <x:v>https://apm.activecommunities.com/portlandparks/Activity_Search/knitting---stitching-together/207672?locale=en-US</x:v>
      </x:c>
    </x:row>
    <x:row r="602" ht="38" customHeight="1">
      <x:c r="A602" s="7" t="str">
        <x:v>207909</x:v>
      </x:c>
      <x:c r="B602" s="12" t="str">
        <x:v>Knitting - Stitching Together</x:v>
      </x:c>
      <x:c r="C602" s="12" t="str">
        <x:v>Woodstock Cmty Ctr</x:v>
      </x:c>
      <x:c r="D602" s="12" t="str">
        <x:v>Arts &amp; Crafts - Fiber &amp; Handcrafts</x:v>
      </x:c>
      <x:c r="E602" s="7" t="str">
        <x:v>future</x:v>
      </x:c>
      <x:c r="F602" s="7" t="str">
        <x:v>2026-11-02</x:v>
      </x:c>
      <x:c r="G602" s="7" t="str">
        <x:v>2026-12-07</x:v>
      </x:c>
      <x:c r="H602" s="7" t="n">
        <x:v>0</x:v>
      </x:c>
      <x:c r="I602" s="7"/>
      <x:c r="J602" s="7" t="n">
        <x:v>10</x:v>
      </x:c>
      <x:c r="K602" s="7" t="str">
        <x:v>unverified-denominator</x:v>
      </x:c>
      <x:c r="L602" s="7" t="d">
        <x:v>2026-09-16T05:12:38.111Z</x:v>
      </x:c>
      <x:c r="M602" s="7" t="str">
        <x:v>https://apm.activecommunities.com/portlandparks/Activity_Search/knitting---stitching-together/207909?locale=en-US</x:v>
      </x:c>
    </x:row>
    <x:row r="603" ht="38" customHeight="1">
      <x:c r="A603" s="8" t="str">
        <x:v>204690</x:v>
      </x:c>
      <x:c r="B603" s="11" t="str">
        <x:v>Knitting - Stitching Together</x:v>
      </x:c>
      <x:c r="C603" s="11" t="str">
        <x:v>Woodstock Cmty Ctr</x:v>
      </x:c>
      <x:c r="D603" s="11" t="str">
        <x:v>Arts &amp; Crafts - Fiber &amp; Handcrafts</x:v>
      </x:c>
      <x:c r="E603" s="8" t="str">
        <x:v>active</x:v>
      </x:c>
      <x:c r="F603" s="8" t="str">
        <x:v>2026-08-31</x:v>
      </x:c>
      <x:c r="G603" s="8" t="str">
        <x:v>2026-09-21</x:v>
      </x:c>
      <x:c r="H603" s="8" t="n">
        <x:v>4</x:v>
      </x:c>
      <x:c r="I603" s="8"/>
      <x:c r="J603" s="8" t="n">
        <x:v>10</x:v>
      </x:c>
      <x:c r="K603" s="8" t="str">
        <x:v>unverified-denominator</x:v>
      </x:c>
      <x:c r="L603" s="8" t="d">
        <x:v>2026-09-16T05:12:38.111Z</x:v>
      </x:c>
      <x:c r="M603" s="8" t="str">
        <x:v>https://apm.activecommunities.com/portlandparks/Activity_Search/knitting---stitching-together/204690?locale=en-US</x:v>
      </x:c>
    </x:row>
    <x:row r="604" ht="38" customHeight="1">
      <x:c r="A604" s="7" t="str">
        <x:v>208508</x:v>
      </x:c>
      <x:c r="B604" s="12" t="str">
        <x:v>Ladybug Nature Walk - Cathedral Park - Autumn Adventure!</x:v>
      </x:c>
      <x:c r="C604" s="12" t="str">
        <x:v>Cathedral Park is in North Portland. Meet in the grass near the parking lot, close to the entrance to the parking lot off N Bradford.  https://maps.app.goo.gl/nchJfCcZgTf8A7rYA</x:v>
      </x:c>
      <x:c r="D604" s="12" t="str">
        <x:v>Science &amp; Nature</x:v>
      </x:c>
      <x:c r="E604" s="7" t="str">
        <x:v>undated</x:v>
      </x:c>
      <x:c r="F604" s="7" t="str">
        <x:v>2026-10-30</x:v>
      </x:c>
      <x:c r="G604" s="7" t="str"/>
      <x:c r="H604" s="7" t="n">
        <x:v>10</x:v>
      </x:c>
      <x:c r="I604" s="7" t="n">
        <x:v>12</x:v>
      </x:c>
      <x:c r="J604" s="7" t="n">
        <x:v>12</x:v>
      </x:c>
      <x:c r="K604" s="7" t="str">
        <x:v>unverified-denominator</x:v>
      </x:c>
      <x:c r="L604" s="7" t="d">
        <x:v>2026-09-16T05:12:38.111Z</x:v>
      </x:c>
      <x:c r="M604" s="7" t="str">
        <x:v>https://apm.activecommunities.com/portlandparks/Activity_Search/ladybug-nature-walk---cathedral-park---autumn-adventure/208508?locale=en-US</x:v>
      </x:c>
    </x:row>
    <x:row r="605" ht="38" customHeight="1">
      <x:c r="A605" s="8" t="str">
        <x:v>208532</x:v>
      </x:c>
      <x:c r="B605" s="11" t="str">
        <x:v>Ladybug Nature Walk - Errol Heights Natural Area - Beavers!</x:v>
      </x:c>
      <x:c r="C605" s="11" t="str">
        <x:v>Errol Heights is in SE Portland</x:v>
      </x:c>
      <x:c r="D605" s="11" t="str">
        <x:v>Science &amp; Nature</x:v>
      </x:c>
      <x:c r="E605" s="8" t="str">
        <x:v>undated</x:v>
      </x:c>
      <x:c r="F605" s="8" t="str">
        <x:v>2026-12-11</x:v>
      </x:c>
      <x:c r="G605" s="8" t="str"/>
      <x:c r="H605" s="8" t="n">
        <x:v>12</x:v>
      </x:c>
      <x:c r="I605" s="8" t="n">
        <x:v>7</x:v>
      </x:c>
      <x:c r="J605" s="8" t="n">
        <x:v>12</x:v>
      </x:c>
      <x:c r="K605" s="8" t="str">
        <x:v>unverified-denominator</x:v>
      </x:c>
      <x:c r="L605" s="8" t="d">
        <x:v>2026-09-16T05:12:38.111Z</x:v>
      </x:c>
      <x:c r="M605" s="8" t="str">
        <x:v>https://apm.activecommunities.com/portlandparks/Activity_Search/ladybug-nature-walk---errol-heights-natural-area---beavers/208532?locale=en-US</x:v>
      </x:c>
    </x:row>
    <x:row r="606" ht="38" customHeight="1">
      <x:c r="A606" s="7" t="str">
        <x:v>208530</x:v>
      </x:c>
      <x:c r="B606" s="12" t="str">
        <x:v>Ladybug Nature Walk - Forest Park -  Creepy Crawlies!</x:v>
      </x:c>
      <x:c r="C606" s="12" t="str">
        <x:v>Lower Macleay Trailhead is in NW Portland. 2960 NW Upshur St, Portland, OR 97210.  Meet at the start of the path near the picnic shelter. https://maps.app.goo.gl/UeRamDEVS48sZDfJ6</x:v>
      </x:c>
      <x:c r="D606" s="12" t="str">
        <x:v>Science &amp; Nature</x:v>
      </x:c>
      <x:c r="E606" s="7" t="str">
        <x:v>undated</x:v>
      </x:c>
      <x:c r="F606" s="7" t="str">
        <x:v>2026-11-06</x:v>
      </x:c>
      <x:c r="G606" s="7" t="str"/>
      <x:c r="H606" s="7" t="n">
        <x:v>20</x:v>
      </x:c>
      <x:c r="I606" s="7" t="n">
        <x:v>2</x:v>
      </x:c>
      <x:c r="J606" s="7" t="n">
        <x:v>20</x:v>
      </x:c>
      <x:c r="K606" s="7" t="str">
        <x:v>unverified-denominator</x:v>
      </x:c>
      <x:c r="L606" s="7" t="d">
        <x:v>2026-09-16T05:12:38.111Z</x:v>
      </x:c>
      <x:c r="M606" s="7" t="str">
        <x:v>https://apm.activecommunities.com/portlandparks/Activity_Search/ladybug-nature-walk---forest-park---creepy-crawlies/208530?locale=en-US</x:v>
      </x:c>
    </x:row>
    <x:row r="607" ht="38" customHeight="1">
      <x:c r="A607" s="8" t="str">
        <x:v>208531</x:v>
      </x:c>
      <x:c r="B607" s="11" t="str">
        <x:v>Ladybug Nature Walk - Hancock Park</x:v>
      </x:c>
      <x:c r="C607" s="11" t="str">
        <x:v>Hancock Park is in NE Portland. Meet near the intersection of NE 90th and NE  Hancock.</x:v>
      </x:c>
      <x:c r="D607" s="11" t="str">
        <x:v>Science &amp; Nature</x:v>
      </x:c>
      <x:c r="E607" s="8" t="str">
        <x:v>undated</x:v>
      </x:c>
      <x:c r="F607" s="8" t="str">
        <x:v>2026-12-04</x:v>
      </x:c>
      <x:c r="G607" s="8" t="str"/>
      <x:c r="H607" s="8" t="n">
        <x:v>12</x:v>
      </x:c>
      <x:c r="I607" s="8" t="n">
        <x:v>1</x:v>
      </x:c>
      <x:c r="J607" s="8" t="n">
        <x:v>12</x:v>
      </x:c>
      <x:c r="K607" s="8" t="str">
        <x:v>unverified-denominator</x:v>
      </x:c>
      <x:c r="L607" s="8" t="d">
        <x:v>2026-09-16T05:12:38.111Z</x:v>
      </x:c>
      <x:c r="M607" s="8" t="str">
        <x:v>https://apm.activecommunities.com/portlandparks/Activity_Search/ladybug-nature-walk---hancock-park/208531?locale=en-US</x:v>
      </x:c>
    </x:row>
    <x:row r="608" ht="38" customHeight="1">
      <x:c r="A608" s="7" t="str">
        <x:v>207110</x:v>
      </x:c>
      <x:c r="B608" s="12" t="str">
        <x:v>Ladybug Nature Walk - Irving Park - Acorns and Squirrels</x:v>
      </x:c>
      <x:c r="C608" s="12" t="str">
        <x:v>Irving Park in NE Portland. Meet by the tennis courts near NE 7th Avenue and Fargo Street. https://maps.app.goo.gl/ox2nW6VrL38oPZtBA</x:v>
      </x:c>
      <x:c r="D608" s="12" t="str">
        <x:v>Science &amp; Nature</x:v>
      </x:c>
      <x:c r="E608" s="7" t="str">
        <x:v>undated</x:v>
      </x:c>
      <x:c r="F608" s="7" t="str">
        <x:v>2026-09-25</x:v>
      </x:c>
      <x:c r="G608" s="7" t="str"/>
      <x:c r="H608" s="7" t="n">
        <x:v>21</x:v>
      </x:c>
      <x:c r="I608" s="7" t="n">
        <x:v>3</x:v>
      </x:c>
      <x:c r="J608" s="7" t="n">
        <x:v>25</x:v>
      </x:c>
      <x:c r="K608" s="7" t="str">
        <x:v>unverified-denominator</x:v>
      </x:c>
      <x:c r="L608" s="7" t="d">
        <x:v>2026-09-16T05:12:38.111Z</x:v>
      </x:c>
      <x:c r="M608" s="7" t="str">
        <x:v>https://apm.activecommunities.com/portlandparks/Activity_Search/ladybug-nature-walk---irving-park---acorns-and-squirrels/207110?locale=en-US</x:v>
      </x:c>
    </x:row>
    <x:row r="609" ht="38" customHeight="1">
      <x:c r="A609" s="8" t="str">
        <x:v>208507</x:v>
      </x:c>
      <x:c r="B609" s="11" t="str">
        <x:v>Ladybug Nature Walk - Laurelhurst Park - Autumn Adventure!</x:v>
      </x:c>
      <x:c r="C609" s="11" t="str">
        <x:v>Laurelhurst Park is in SE Portland. Meet near the bathrooms near SE Ankeny and Laurelhurst Place. https://maps.app.goo.gl/viKmVegqZfpu4krP8</x:v>
      </x:c>
      <x:c r="D609" s="11" t="str">
        <x:v>Science &amp; Nature</x:v>
      </x:c>
      <x:c r="E609" s="8" t="str">
        <x:v>undated</x:v>
      </x:c>
      <x:c r="F609" s="8" t="str">
        <x:v>2026-10-23</x:v>
      </x:c>
      <x:c r="G609" s="8" t="str"/>
      <x:c r="H609" s="8" t="n">
        <x:v>15</x:v>
      </x:c>
      <x:c r="I609" s="8" t="n">
        <x:v>6</x:v>
      </x:c>
      <x:c r="J609" s="8" t="n">
        <x:v>25</x:v>
      </x:c>
      <x:c r="K609" s="8" t="str">
        <x:v>unverified-denominator</x:v>
      </x:c>
      <x:c r="L609" s="8" t="d">
        <x:v>2026-09-16T05:12:38.111Z</x:v>
      </x:c>
      <x:c r="M609" s="8" t="str">
        <x:v>https://apm.activecommunities.com/portlandparks/Activity_Search/ladybug-nature-walk---laurelhurst-park---autumn-adventure/208507?locale=en-US</x:v>
      </x:c>
    </x:row>
    <x:row r="610" ht="38" customHeight="1">
      <x:c r="A610" s="7" t="str">
        <x:v>207109</x:v>
      </x:c>
      <x:c r="B610" s="12" t="str">
        <x:v>Ladybug Nature Walk - Native Gathering Garden - Seeds!</x:v>
      </x:c>
      <x:c r="C610" s="12" t="str">
        <x:v>Native Gathering Garden is in Cully Park. The entrance to Cully Park is located at 5810 NE 72nd Ave. https://maps.app.goo.gl/Aw9ZaEHyUYvQuA398</x:v>
      </x:c>
      <x:c r="D610" s="12" t="str">
        <x:v>Science &amp; Nature</x:v>
      </x:c>
      <x:c r="E610" s="7" t="str">
        <x:v>undated</x:v>
      </x:c>
      <x:c r="F610" s="7" t="str">
        <x:v>2026-09-18</x:v>
      </x:c>
      <x:c r="G610" s="7" t="str"/>
      <x:c r="H610" s="7" t="n">
        <x:v>22</x:v>
      </x:c>
      <x:c r="I610" s="7"/>
      <x:c r="J610" s="7" t="n">
        <x:v>25</x:v>
      </x:c>
      <x:c r="K610" s="7" t="str">
        <x:v>unverified-denominator</x:v>
      </x:c>
      <x:c r="L610" s="7" t="d">
        <x:v>2026-09-16T05:12:38.111Z</x:v>
      </x:c>
      <x:c r="M610" s="7" t="str">
        <x:v>https://apm.activecommunities.com/portlandparks/Activity_Search/ladybug-nature-walk---native-gathering-garden---seeds/207109?locale=en-US</x:v>
      </x:c>
    </x:row>
    <x:row r="611" ht="38" customHeight="1">
      <x:c r="A611" s="8" t="str">
        <x:v>208503</x:v>
      </x:c>
      <x:c r="B611" s="11" t="str">
        <x:v>Ladybug Nature Walk - Riverview Natural Area-Creepy Crawlies</x:v>
      </x:c>
      <x:c r="C611" s="11" t="str">
        <x:v>Riverview Natural Area is in SW Portland, South the Sellwood bridge. Meet at the trailhead at South Palatine Hill Road and Brugger Street. https://maps.app.goo.gl/fGcSASaksfaKKFA28</x:v>
      </x:c>
      <x:c r="D611" s="11" t="str">
        <x:v>Science &amp; Nature</x:v>
      </x:c>
      <x:c r="E611" s="8" t="str">
        <x:v>undated</x:v>
      </x:c>
      <x:c r="F611" s="8" t="str">
        <x:v>2026-10-16</x:v>
      </x:c>
      <x:c r="G611" s="8" t="str"/>
      <x:c r="H611" s="8" t="n">
        <x:v>19</x:v>
      </x:c>
      <x:c r="I611" s="8"/>
      <x:c r="J611" s="8" t="n">
        <x:v>24</x:v>
      </x:c>
      <x:c r="K611" s="8" t="str">
        <x:v>unverified-denominator</x:v>
      </x:c>
      <x:c r="L611" s="8" t="d">
        <x:v>2026-09-16T05:12:38.111Z</x:v>
      </x:c>
      <x:c r="M611" s="8" t="str">
        <x:v>https://apm.activecommunities.com/portlandparks/Activity_Search/ladybug-nature-walk---riverview-natural-area-creepy-crawlies/208503?locale=en-US</x:v>
      </x:c>
    </x:row>
    <x:row r="612" ht="38" customHeight="1">
      <x:c r="A612" s="7" t="str">
        <x:v>207146</x:v>
      </x:c>
      <x:c r="B612" s="12" t="str">
        <x:v>Ladybug Nature Walk - Westmoreland Park - Salmon</x:v>
      </x:c>
      <x:c r="C612" s="12" t="str">
        <x:v>Westmoreland Park is in SE Portland. Meet at the entrance near SE 22nd Avenue and Rex. https://maps.app.goo.gl/HFBQ8mF9RnUuZerU8</x:v>
      </x:c>
      <x:c r="D612" s="12" t="str">
        <x:v>Science &amp; Nature</x:v>
      </x:c>
      <x:c r="E612" s="7" t="str">
        <x:v>undated</x:v>
      </x:c>
      <x:c r="F612" s="7" t="str">
        <x:v>2026-10-02</x:v>
      </x:c>
      <x:c r="G612" s="7" t="str"/>
      <x:c r="H612" s="7" t="n">
        <x:v>21</x:v>
      </x:c>
      <x:c r="I612" s="7" t="n">
        <x:v>6</x:v>
      </x:c>
      <x:c r="J612" s="7" t="n">
        <x:v>25</x:v>
      </x:c>
      <x:c r="K612" s="7" t="str">
        <x:v>unverified-denominator</x:v>
      </x:c>
      <x:c r="L612" s="7" t="d">
        <x:v>2026-09-16T05:12:38.111Z</x:v>
      </x:c>
      <x:c r="M612" s="7" t="str">
        <x:v>https://apm.activecommunities.com/portlandparks/Activity_Search/ladybug-nature-walk---westmoreland-park---salmon/207146?locale=en-US</x:v>
      </x:c>
    </x:row>
    <x:row r="613" ht="38" customHeight="1">
      <x:c r="A613" s="8" t="str">
        <x:v>205609</x:v>
      </x:c>
      <x:c r="B613" s="11" t="str">
        <x:v>Lifeguard Certification</x:v>
      </x:c>
      <x:c r="C613" s="11" t="str">
        <x:v>Matt Dishman Indoor Pool</x:v>
      </x:c>
      <x:c r="D613" s="11" t="str">
        <x:v>Aquatics - Training</x:v>
      </x:c>
      <x:c r="E613" s="8" t="str">
        <x:v>active</x:v>
      </x:c>
      <x:c r="F613" s="8" t="str">
        <x:v>2026-09-01</x:v>
      </x:c>
      <x:c r="G613" s="8" t="str">
        <x:v>2026-09-27</x:v>
      </x:c>
      <x:c r="H613" s="8" t="n">
        <x:v>17</x:v>
      </x:c>
      <x:c r="I613" s="8"/>
      <x:c r="J613" s="8" t="n">
        <x:v>17</x:v>
      </x:c>
      <x:c r="K613" s="8" t="str">
        <x:v>unverified-denominator</x:v>
      </x:c>
      <x:c r="L613" s="8" t="d">
        <x:v>2026-09-16T05:12:38.111Z</x:v>
      </x:c>
      <x:c r="M613" s="8" t="str">
        <x:v>https://apm.activecommunities.com/portlandparks/Activity_Search/lifeguard-certification/205609?locale=en-US</x:v>
      </x:c>
    </x:row>
    <x:row r="614" ht="38" customHeight="1">
      <x:c r="A614" s="7" t="str">
        <x:v>205610</x:v>
      </x:c>
      <x:c r="B614" s="12" t="str">
        <x:v>Lifeguard Certification</x:v>
      </x:c>
      <x:c r="C614" s="12" t="str">
        <x:v>Mt Scott Indoor Pool</x:v>
      </x:c>
      <x:c r="D614" s="12" t="str">
        <x:v>Aquatics - Training</x:v>
      </x:c>
      <x:c r="E614" s="7" t="str">
        <x:v>future</x:v>
      </x:c>
      <x:c r="F614" s="7" t="str">
        <x:v>2026-10-02</x:v>
      </x:c>
      <x:c r="G614" s="7" t="str">
        <x:v>2026-10-25</x:v>
      </x:c>
      <x:c r="H614" s="7" t="n">
        <x:v>34</x:v>
      </x:c>
      <x:c r="I614" s="7"/>
      <x:c r="J614" s="7" t="n">
        <x:v>36</x:v>
      </x:c>
      <x:c r="K614" s="7" t="str">
        <x:v>unverified-denominator</x:v>
      </x:c>
      <x:c r="L614" s="7" t="d">
        <x:v>2026-09-16T05:12:38.111Z</x:v>
      </x:c>
      <x:c r="M614" s="7" t="str">
        <x:v>https://apm.activecommunities.com/portlandparks/Activity_Search/lifeguard-certification/205610?locale=en-US</x:v>
      </x:c>
    </x:row>
    <x:row r="615" ht="38" customHeight="1">
      <x:c r="A615" s="8" t="str">
        <x:v>205611</x:v>
      </x:c>
      <x:c r="B615" s="11" t="str">
        <x:v>Lifeguard Certification</x:v>
      </x:c>
      <x:c r="C615" s="11" t="str">
        <x:v>Southwest Indoor Pool</x:v>
      </x:c>
      <x:c r="D615" s="11" t="str">
        <x:v>Aquatics - Training</x:v>
      </x:c>
      <x:c r="E615" s="8" t="str">
        <x:v>future</x:v>
      </x:c>
      <x:c r="F615" s="8" t="str">
        <x:v>2026-11-06</x:v>
      </x:c>
      <x:c r="G615" s="8" t="str">
        <x:v>2026-11-24</x:v>
      </x:c>
      <x:c r="H615" s="8" t="n">
        <x:v>24</x:v>
      </x:c>
      <x:c r="I615" s="8"/>
      <x:c r="J615" s="8" t="n">
        <x:v>24</x:v>
      </x:c>
      <x:c r="K615" s="8" t="str">
        <x:v>unverified-denominator</x:v>
      </x:c>
      <x:c r="L615" s="8" t="d">
        <x:v>2026-09-16T05:12:38.111Z</x:v>
      </x:c>
      <x:c r="M615" s="8" t="str">
        <x:v>https://apm.activecommunities.com/portlandparks/Activity_Search/lifeguard-certification/205611?locale=en-US</x:v>
      </x:c>
    </x:row>
    <x:row r="616" ht="38" customHeight="1">
      <x:c r="A616" s="7" t="str">
        <x:v>205612</x:v>
      </x:c>
      <x:c r="B616" s="12" t="str">
        <x:v>Lifeguard Certification</x:v>
      </x:c>
      <x:c r="C616" s="12" t="str">
        <x:v>East Portland Indoor Pool</x:v>
      </x:c>
      <x:c r="D616" s="12" t="str">
        <x:v>Aquatics - Training</x:v>
      </x:c>
      <x:c r="E616" s="7" t="str">
        <x:v>future</x:v>
      </x:c>
      <x:c r="F616" s="7" t="str">
        <x:v>2026-12-07</x:v>
      </x:c>
      <x:c r="G616" s="7" t="str">
        <x:v>2026-12-23</x:v>
      </x:c>
      <x:c r="H616" s="7" t="n">
        <x:v>18</x:v>
      </x:c>
      <x:c r="I616" s="7"/>
      <x:c r="J616" s="7" t="n">
        <x:v>24</x:v>
      </x:c>
      <x:c r="K616" s="7" t="str">
        <x:v>unverified-denominator</x:v>
      </x:c>
      <x:c r="L616" s="7" t="d">
        <x:v>2026-09-16T05:12:38.111Z</x:v>
      </x:c>
      <x:c r="M616" s="7" t="str">
        <x:v>https://apm.activecommunities.com/portlandparks/Activity_Search/lifeguard-certification/205612?locale=en-US</x:v>
      </x:c>
    </x:row>
    <x:row r="617" ht="38" customHeight="1">
      <x:c r="A617" s="8" t="str">
        <x:v>205613</x:v>
      </x:c>
      <x:c r="B617" s="11" t="str">
        <x:v>Lifeguard Certification</x:v>
      </x:c>
      <x:c r="C617" s="11" t="str">
        <x:v>Mt Scott Indoor Pool</x:v>
      </x:c>
      <x:c r="D617" s="11" t="str">
        <x:v>Aquatics - Training</x:v>
      </x:c>
      <x:c r="E617" s="8" t="str">
        <x:v>future</x:v>
      </x:c>
      <x:c r="F617" s="8" t="str">
        <x:v>2027-01-08</x:v>
      </x:c>
      <x:c r="G617" s="8" t="str">
        <x:v>2027-01-26</x:v>
      </x:c>
      <x:c r="H617" s="8" t="n">
        <x:v>2</x:v>
      </x:c>
      <x:c r="I617" s="8"/>
      <x:c r="J617" s="8" t="n">
        <x:v>24</x:v>
      </x:c>
      <x:c r="K617" s="8" t="str">
        <x:v>unverified-denominator</x:v>
      </x:c>
      <x:c r="L617" s="8" t="d">
        <x:v>2026-09-16T05:12:38.111Z</x:v>
      </x:c>
      <x:c r="M617" s="8" t="str">
        <x:v>https://apm.activecommunities.com/portlandparks/Activity_Search/lifeguard-certification/205613?locale=en-US</x:v>
      </x:c>
    </x:row>
    <x:row r="618" ht="38" customHeight="1">
      <x:c r="A618" s="7" t="str">
        <x:v>205614</x:v>
      </x:c>
      <x:c r="B618" s="12" t="str">
        <x:v>Lifeguard Certification</x:v>
      </x:c>
      <x:c r="C618" s="12" t="str">
        <x:v>Matt Dishman Indoor Pool</x:v>
      </x:c>
      <x:c r="D618" s="12" t="str">
        <x:v>Aquatics - Training</x:v>
      </x:c>
      <x:c r="E618" s="7" t="str">
        <x:v>future</x:v>
      </x:c>
      <x:c r="F618" s="7" t="str">
        <x:v>2027-02-08</x:v>
      </x:c>
      <x:c r="G618" s="7" t="str">
        <x:v>2027-02-26</x:v>
      </x:c>
      <x:c r="H618" s="7" t="n">
        <x:v>8</x:v>
      </x:c>
      <x:c r="I618" s="7"/>
      <x:c r="J618" s="7" t="n">
        <x:v>24</x:v>
      </x:c>
      <x:c r="K618" s="7" t="str">
        <x:v>unverified-denominator</x:v>
      </x:c>
      <x:c r="L618" s="7" t="d">
        <x:v>2026-09-16T05:12:38.111Z</x:v>
      </x:c>
      <x:c r="M618" s="7" t="str">
        <x:v>https://apm.activecommunities.com/portlandparks/Activity_Search/lifeguard-certification/205614?locale=en-US</x:v>
      </x:c>
    </x:row>
    <x:row r="619" ht="38" customHeight="1">
      <x:c r="A619" s="8" t="str">
        <x:v>205615</x:v>
      </x:c>
      <x:c r="B619" s="11" t="str">
        <x:v>Lifeguard Certification</x:v>
      </x:c>
      <x:c r="C619" s="11" t="str">
        <x:v>Matt Dishman Indoor Pool</x:v>
      </x:c>
      <x:c r="D619" s="11" t="str">
        <x:v>Aquatics - Training</x:v>
      </x:c>
      <x:c r="E619" s="8" t="str">
        <x:v>future</x:v>
      </x:c>
      <x:c r="F619" s="8" t="str">
        <x:v>2027-03-08</x:v>
      </x:c>
      <x:c r="G619" s="8" t="str">
        <x:v>2027-03-25</x:v>
      </x:c>
      <x:c r="H619" s="8" t="n">
        <x:v>3</x:v>
      </x:c>
      <x:c r="I619" s="8"/>
      <x:c r="J619" s="8" t="n">
        <x:v>24</x:v>
      </x:c>
      <x:c r="K619" s="8" t="str">
        <x:v>unverified-denominator</x:v>
      </x:c>
      <x:c r="L619" s="8" t="d">
        <x:v>2026-09-16T05:12:38.111Z</x:v>
      </x:c>
      <x:c r="M619" s="8" t="str">
        <x:v>https://apm.activecommunities.com/portlandparks/Activity_Search/lifeguard-certification/205615?locale=en-US</x:v>
      </x:c>
    </x:row>
    <x:row r="620" ht="38" customHeight="1">
      <x:c r="A620" s="7" t="str">
        <x:v>205616</x:v>
      </x:c>
      <x:c r="B620" s="12" t="str">
        <x:v>Lifeguard Certification</x:v>
      </x:c>
      <x:c r="C620" s="12" t="str">
        <x:v>East Portland Indoor Pool</x:v>
      </x:c>
      <x:c r="D620" s="12" t="str">
        <x:v>Aquatics - Training</x:v>
      </x:c>
      <x:c r="E620" s="7" t="str">
        <x:v>future</x:v>
      </x:c>
      <x:c r="F620" s="7" t="str">
        <x:v>2027-03-19</x:v>
      </x:c>
      <x:c r="G620" s="7" t="str">
        <x:v>2027-04-04</x:v>
      </x:c>
      <x:c r="H620" s="7" t="n">
        <x:v>1</x:v>
      </x:c>
      <x:c r="I620" s="7"/>
      <x:c r="J620" s="7" t="n">
        <x:v>24</x:v>
      </x:c>
      <x:c r="K620" s="7" t="str">
        <x:v>unverified-denominator</x:v>
      </x:c>
      <x:c r="L620" s="7" t="d">
        <x:v>2026-09-16T05:12:38.111Z</x:v>
      </x:c>
      <x:c r="M620" s="7" t="str">
        <x:v>https://apm.activecommunities.com/portlandparks/Activity_Search/lifeguard-certification/205616?locale=en-US</x:v>
      </x:c>
    </x:row>
    <x:row r="621" ht="38" customHeight="1">
      <x:c r="A621" s="8" t="str">
        <x:v>205617</x:v>
      </x:c>
      <x:c r="B621" s="11" t="str">
        <x:v>Lifeguard Certification</x:v>
      </x:c>
      <x:c r="C621" s="11" t="str">
        <x:v>Southwest Indoor Pool</x:v>
      </x:c>
      <x:c r="D621" s="11" t="str">
        <x:v>Aquatics - Training</x:v>
      </x:c>
      <x:c r="E621" s="8" t="str">
        <x:v>future</x:v>
      </x:c>
      <x:c r="F621" s="8" t="str">
        <x:v>2027-04-09</x:v>
      </x:c>
      <x:c r="G621" s="8" t="str">
        <x:v>2027-05-02</x:v>
      </x:c>
      <x:c r="H621" s="8" t="n">
        <x:v>5</x:v>
      </x:c>
      <x:c r="I621" s="8"/>
      <x:c r="J621" s="8" t="n">
        <x:v>24</x:v>
      </x:c>
      <x:c r="K621" s="8" t="str">
        <x:v>unverified-denominator</x:v>
      </x:c>
      <x:c r="L621" s="8" t="d">
        <x:v>2026-09-16T05:12:38.111Z</x:v>
      </x:c>
      <x:c r="M621" s="8" t="str">
        <x:v>https://apm.activecommunities.com/portlandparks/Activity_Search/lifeguard-certification/205617?locale=en-US</x:v>
      </x:c>
    </x:row>
    <x:row r="622" ht="38" customHeight="1">
      <x:c r="A622" s="7" t="str">
        <x:v>205620</x:v>
      </x:c>
      <x:c r="B622" s="12" t="str">
        <x:v>Lifeguard Review</x:v>
      </x:c>
      <x:c r="C622" s="12" t="str">
        <x:v>Matt Dishman Indoor Pool</x:v>
      </x:c>
      <x:c r="D622" s="12" t="str">
        <x:v>Aquatics - Training</x:v>
      </x:c>
      <x:c r="E622" s="7" t="str">
        <x:v>undated</x:v>
      </x:c>
      <x:c r="F622" s="7" t="str">
        <x:v>2026-10-09</x:v>
      </x:c>
      <x:c r="G622" s="7" t="str"/>
      <x:c r="H622" s="7" t="n">
        <x:v>17</x:v>
      </x:c>
      <x:c r="I622" s="7"/>
      <x:c r="J622" s="7" t="n">
        <x:v>36</x:v>
      </x:c>
      <x:c r="K622" s="7" t="str">
        <x:v>unverified-denominator</x:v>
      </x:c>
      <x:c r="L622" s="7" t="d">
        <x:v>2026-09-16T05:12:38.111Z</x:v>
      </x:c>
      <x:c r="M622" s="7" t="str">
        <x:v>https://apm.activecommunities.com/portlandparks/Activity_Search/lifeguard-review/205620?locale=en-US</x:v>
      </x:c>
    </x:row>
    <x:row r="623" ht="38" customHeight="1">
      <x:c r="A623" s="8" t="str">
        <x:v>205621</x:v>
      </x:c>
      <x:c r="B623" s="11" t="str">
        <x:v>Lifeguard Review</x:v>
      </x:c>
      <x:c r="C623" s="11" t="str">
        <x:v>Matt Dishman Indoor Pool</x:v>
      </x:c>
      <x:c r="D623" s="11" t="str">
        <x:v>Aquatics - Training</x:v>
      </x:c>
      <x:c r="E623" s="8" t="str">
        <x:v>undated</x:v>
      </x:c>
      <x:c r="F623" s="8" t="str">
        <x:v>2026-11-15</x:v>
      </x:c>
      <x:c r="G623" s="8" t="str"/>
      <x:c r="H623" s="8" t="n">
        <x:v>28</x:v>
      </x:c>
      <x:c r="I623" s="8"/>
      <x:c r="J623" s="8" t="n">
        <x:v>36</x:v>
      </x:c>
      <x:c r="K623" s="8" t="str">
        <x:v>unverified-denominator</x:v>
      </x:c>
      <x:c r="L623" s="8" t="d">
        <x:v>2026-09-16T05:12:38.111Z</x:v>
      </x:c>
      <x:c r="M623" s="8" t="str">
        <x:v>https://apm.activecommunities.com/portlandparks/Activity_Search/lifeguard-review/205621?locale=en-US</x:v>
      </x:c>
    </x:row>
    <x:row r="624" ht="38" customHeight="1">
      <x:c r="A624" s="7" t="str">
        <x:v>205622</x:v>
      </x:c>
      <x:c r="B624" s="12" t="str">
        <x:v>Lifeguard Review</x:v>
      </x:c>
      <x:c r="C624" s="12" t="str">
        <x:v>Mt Scott Indoor Pool</x:v>
      </x:c>
      <x:c r="D624" s="12" t="str">
        <x:v>Aquatics - Training</x:v>
      </x:c>
      <x:c r="E624" s="7" t="str">
        <x:v>undated</x:v>
      </x:c>
      <x:c r="F624" s="7" t="str">
        <x:v>2026-11-22</x:v>
      </x:c>
      <x:c r="G624" s="7" t="str"/>
      <x:c r="H624" s="7" t="n">
        <x:v>33</x:v>
      </x:c>
      <x:c r="I624" s="7"/>
      <x:c r="J624" s="7" t="n">
        <x:v>36</x:v>
      </x:c>
      <x:c r="K624" s="7" t="str">
        <x:v>unverified-denominator</x:v>
      </x:c>
      <x:c r="L624" s="7" t="d">
        <x:v>2026-09-16T05:12:38.111Z</x:v>
      </x:c>
      <x:c r="M624" s="7" t="str">
        <x:v>https://apm.activecommunities.com/portlandparks/Activity_Search/lifeguard-review/205622?locale=en-US</x:v>
      </x:c>
    </x:row>
    <x:row r="625" ht="38" customHeight="1">
      <x:c r="A625" s="8" t="str">
        <x:v>205623</x:v>
      </x:c>
      <x:c r="B625" s="11" t="str">
        <x:v>Lifeguard Review</x:v>
      </x:c>
      <x:c r="C625" s="11" t="str">
        <x:v>Southwest Indoor Pool</x:v>
      </x:c>
      <x:c r="D625" s="11" t="str">
        <x:v>Aquatics - Training</x:v>
      </x:c>
      <x:c r="E625" s="8" t="str">
        <x:v>undated</x:v>
      </x:c>
      <x:c r="F625" s="8" t="str">
        <x:v>2026-12-19</x:v>
      </x:c>
      <x:c r="G625" s="8" t="str"/>
      <x:c r="H625" s="8" t="n">
        <x:v>29</x:v>
      </x:c>
      <x:c r="I625" s="8"/>
      <x:c r="J625" s="8" t="n">
        <x:v>36</x:v>
      </x:c>
      <x:c r="K625" s="8" t="str">
        <x:v>unverified-denominator</x:v>
      </x:c>
      <x:c r="L625" s="8" t="d">
        <x:v>2026-09-16T05:12:38.111Z</x:v>
      </x:c>
      <x:c r="M625" s="8" t="str">
        <x:v>https://apm.activecommunities.com/portlandparks/Activity_Search/lifeguard-review/205623?locale=en-US</x:v>
      </x:c>
    </x:row>
    <x:row r="626" ht="38" customHeight="1">
      <x:c r="A626" s="7" t="str">
        <x:v>205624</x:v>
      </x:c>
      <x:c r="B626" s="12" t="str">
        <x:v>Lifeguard Review</x:v>
      </x:c>
      <x:c r="C626" s="12" t="str">
        <x:v>Mt Scott Indoor Pool</x:v>
      </x:c>
      <x:c r="D626" s="12" t="str">
        <x:v>Aquatics - Training</x:v>
      </x:c>
      <x:c r="E626" s="7" t="str">
        <x:v>undated</x:v>
      </x:c>
      <x:c r="F626" s="7" t="str">
        <x:v>2026-12-20</x:v>
      </x:c>
      <x:c r="G626" s="7" t="str"/>
      <x:c r="H626" s="7" t="n">
        <x:v>27</x:v>
      </x:c>
      <x:c r="I626" s="7"/>
      <x:c r="J626" s="7" t="n">
        <x:v>36</x:v>
      </x:c>
      <x:c r="K626" s="7" t="str">
        <x:v>unverified-denominator</x:v>
      </x:c>
      <x:c r="L626" s="7" t="d">
        <x:v>2026-09-16T05:12:38.111Z</x:v>
      </x:c>
      <x:c r="M626" s="7" t="str">
        <x:v>https://apm.activecommunities.com/portlandparks/Activity_Search/lifeguard-review/205624?locale=en-US</x:v>
      </x:c>
    </x:row>
    <x:row r="627" ht="38" customHeight="1">
      <x:c r="A627" s="8" t="str">
        <x:v>205625</x:v>
      </x:c>
      <x:c r="B627" s="11" t="str">
        <x:v>Lifeguard Review</x:v>
      </x:c>
      <x:c r="C627" s="11" t="str">
        <x:v>Mt Scott Indoor Pool</x:v>
      </x:c>
      <x:c r="D627" s="11" t="str">
        <x:v>Aquatics - Training</x:v>
      </x:c>
      <x:c r="E627" s="8" t="str">
        <x:v>undated</x:v>
      </x:c>
      <x:c r="F627" s="8" t="str">
        <x:v>2026-12-27</x:v>
      </x:c>
      <x:c r="G627" s="8" t="str"/>
      <x:c r="H627" s="8" t="n">
        <x:v>32</x:v>
      </x:c>
      <x:c r="I627" s="8"/>
      <x:c r="J627" s="8" t="n">
        <x:v>36</x:v>
      </x:c>
      <x:c r="K627" s="8" t="str">
        <x:v>unverified-denominator</x:v>
      </x:c>
      <x:c r="L627" s="8" t="d">
        <x:v>2026-09-16T05:12:38.111Z</x:v>
      </x:c>
      <x:c r="M627" s="8" t="str">
        <x:v>https://apm.activecommunities.com/portlandparks/Activity_Search/lifeguard-review/205625?locale=en-US</x:v>
      </x:c>
    </x:row>
    <x:row r="628" ht="38" customHeight="1">
      <x:c r="A628" s="7" t="str">
        <x:v>205626</x:v>
      </x:c>
      <x:c r="B628" s="12" t="str">
        <x:v>Lifeguard Review</x:v>
      </x:c>
      <x:c r="C628" s="12" t="str">
        <x:v>East Portland Indoor Pool</x:v>
      </x:c>
      <x:c r="D628" s="12" t="str">
        <x:v>Aquatics - Training</x:v>
      </x:c>
      <x:c r="E628" s="7" t="str">
        <x:v>undated</x:v>
      </x:c>
      <x:c r="F628" s="7" t="str">
        <x:v>2026-12-29</x:v>
      </x:c>
      <x:c r="G628" s="7" t="str"/>
      <x:c r="H628" s="7" t="n">
        <x:v>11</x:v>
      </x:c>
      <x:c r="I628" s="7"/>
      <x:c r="J628" s="7" t="n">
        <x:v>36</x:v>
      </x:c>
      <x:c r="K628" s="7" t="str">
        <x:v>unverified-denominator</x:v>
      </x:c>
      <x:c r="L628" s="7" t="d">
        <x:v>2026-09-16T05:12:38.111Z</x:v>
      </x:c>
      <x:c r="M628" s="7" t="str">
        <x:v>https://apm.activecommunities.com/portlandparks/Activity_Search/lifeguard-review/205626?locale=en-US</x:v>
      </x:c>
    </x:row>
    <x:row r="629" ht="38" customHeight="1">
      <x:c r="A629" s="8" t="str">
        <x:v>205627</x:v>
      </x:c>
      <x:c r="B629" s="11" t="str">
        <x:v>Lifeguard Review</x:v>
      </x:c>
      <x:c r="C629" s="11" t="str">
        <x:v>Southwest Indoor Pool</x:v>
      </x:c>
      <x:c r="D629" s="11" t="str">
        <x:v>Aquatics - Training</x:v>
      </x:c>
      <x:c r="E629" s="8" t="str">
        <x:v>undated</x:v>
      </x:c>
      <x:c r="F629" s="8" t="str">
        <x:v>2027-01-10</x:v>
      </x:c>
      <x:c r="G629" s="8" t="str"/>
      <x:c r="H629" s="8" t="n">
        <x:v>6</x:v>
      </x:c>
      <x:c r="I629" s="8"/>
      <x:c r="J629" s="8" t="n">
        <x:v>36</x:v>
      </x:c>
      <x:c r="K629" s="8" t="str">
        <x:v>unverified-denominator</x:v>
      </x:c>
      <x:c r="L629" s="8" t="d">
        <x:v>2026-09-16T05:12:38.111Z</x:v>
      </x:c>
      <x:c r="M629" s="8" t="str">
        <x:v>https://apm.activecommunities.com/portlandparks/Activity_Search/lifeguard-review/205627?locale=en-US</x:v>
      </x:c>
    </x:row>
    <x:row r="630" ht="38" customHeight="1">
      <x:c r="A630" s="7" t="str">
        <x:v>205628</x:v>
      </x:c>
      <x:c r="B630" s="12" t="str">
        <x:v>Lifeguard Review</x:v>
      </x:c>
      <x:c r="C630" s="12" t="str">
        <x:v>East Portland Indoor Pool</x:v>
      </x:c>
      <x:c r="D630" s="12" t="str">
        <x:v>Aquatics - Training</x:v>
      </x:c>
      <x:c r="E630" s="7" t="str">
        <x:v>undated</x:v>
      </x:c>
      <x:c r="F630" s="7" t="str">
        <x:v>2027-02-07</x:v>
      </x:c>
      <x:c r="G630" s="7" t="str"/>
      <x:c r="H630" s="7" t="n">
        <x:v>8</x:v>
      </x:c>
      <x:c r="I630" s="7"/>
      <x:c r="J630" s="7" t="n">
        <x:v>36</x:v>
      </x:c>
      <x:c r="K630" s="7" t="str">
        <x:v>unverified-denominator</x:v>
      </x:c>
      <x:c r="L630" s="7" t="d">
        <x:v>2026-09-16T05:12:38.111Z</x:v>
      </x:c>
      <x:c r="M630" s="7" t="str">
        <x:v>https://apm.activecommunities.com/portlandparks/Activity_Search/lifeguard-review/205628?locale=en-US</x:v>
      </x:c>
    </x:row>
    <x:row r="631" ht="38" customHeight="1">
      <x:c r="A631" s="8" t="str">
        <x:v>205629</x:v>
      </x:c>
      <x:c r="B631" s="11" t="str">
        <x:v>Lifeguard Review</x:v>
      </x:c>
      <x:c r="C631" s="11" t="str">
        <x:v>Southwest Indoor Pool</x:v>
      </x:c>
      <x:c r="D631" s="11" t="str">
        <x:v>Aquatics - Training</x:v>
      </x:c>
      <x:c r="E631" s="8" t="str">
        <x:v>undated</x:v>
      </x:c>
      <x:c r="F631" s="8" t="str">
        <x:v>2027-03-20</x:v>
      </x:c>
      <x:c r="G631" s="8" t="str"/>
      <x:c r="H631" s="8" t="n">
        <x:v>8</x:v>
      </x:c>
      <x:c r="I631" s="8"/>
      <x:c r="J631" s="8" t="n">
        <x:v>36</x:v>
      </x:c>
      <x:c r="K631" s="8" t="str">
        <x:v>unverified-denominator</x:v>
      </x:c>
      <x:c r="L631" s="8" t="d">
        <x:v>2026-09-16T05:12:38.111Z</x:v>
      </x:c>
      <x:c r="M631" s="8" t="str">
        <x:v>https://apm.activecommunities.com/portlandparks/Activity_Search/lifeguard-review/205629?locale=en-US</x:v>
      </x:c>
    </x:row>
    <x:row r="632" ht="38" customHeight="1">
      <x:c r="A632" s="7" t="str">
        <x:v>205630</x:v>
      </x:c>
      <x:c r="B632" s="12" t="str">
        <x:v>Lifeguard Review</x:v>
      </x:c>
      <x:c r="C632" s="12" t="str">
        <x:v>Mt Scott Indoor Pool</x:v>
      </x:c>
      <x:c r="D632" s="12" t="str">
        <x:v>Aquatics - Training</x:v>
      </x:c>
      <x:c r="E632" s="7" t="str">
        <x:v>undated</x:v>
      </x:c>
      <x:c r="F632" s="7" t="str">
        <x:v>2027-03-21</x:v>
      </x:c>
      <x:c r="G632" s="7" t="str"/>
      <x:c r="H632" s="7" t="n">
        <x:v>7</x:v>
      </x:c>
      <x:c r="I632" s="7"/>
      <x:c r="J632" s="7" t="n">
        <x:v>36</x:v>
      </x:c>
      <x:c r="K632" s="7" t="str">
        <x:v>unverified-denominator</x:v>
      </x:c>
      <x:c r="L632" s="7" t="d">
        <x:v>2026-09-16T05:12:38.111Z</x:v>
      </x:c>
      <x:c r="M632" s="7" t="str">
        <x:v>https://apm.activecommunities.com/portlandparks/Activity_Search/lifeguard-review/205630?locale=en-US</x:v>
      </x:c>
    </x:row>
    <x:row r="633" ht="38" customHeight="1">
      <x:c r="A633" s="8" t="str">
        <x:v>205631</x:v>
      </x:c>
      <x:c r="B633" s="11" t="str">
        <x:v>Lifeguard Review</x:v>
      </x:c>
      <x:c r="C633" s="11" t="str">
        <x:v>East Portland Indoor Pool</x:v>
      </x:c>
      <x:c r="D633" s="11" t="str">
        <x:v>Aquatics - Training</x:v>
      </x:c>
      <x:c r="E633" s="8" t="str">
        <x:v>undated</x:v>
      </x:c>
      <x:c r="F633" s="8" t="str">
        <x:v>2027-03-27</x:v>
      </x:c>
      <x:c r="G633" s="8" t="str"/>
      <x:c r="H633" s="8" t="n">
        <x:v>5</x:v>
      </x:c>
      <x:c r="I633" s="8"/>
      <x:c r="J633" s="8" t="n">
        <x:v>36</x:v>
      </x:c>
      <x:c r="K633" s="8" t="str">
        <x:v>unverified-denominator</x:v>
      </x:c>
      <x:c r="L633" s="8" t="d">
        <x:v>2026-09-16T05:12:38.111Z</x:v>
      </x:c>
      <x:c r="M633" s="8" t="str">
        <x:v>https://apm.activecommunities.com/portlandparks/Activity_Search/lifeguard-review/205631?locale=en-US</x:v>
      </x:c>
    </x:row>
    <x:row r="634" ht="38" customHeight="1">
      <x:c r="A634" s="7" t="str">
        <x:v>205632</x:v>
      </x:c>
      <x:c r="B634" s="12" t="str">
        <x:v>Lifeguard Review</x:v>
      </x:c>
      <x:c r="C634" s="12" t="str">
        <x:v>Mt Scott Indoor Pool</x:v>
      </x:c>
      <x:c r="D634" s="12" t="str">
        <x:v>Aquatics - Training</x:v>
      </x:c>
      <x:c r="E634" s="7" t="str">
        <x:v>undated</x:v>
      </x:c>
      <x:c r="F634" s="7" t="str">
        <x:v>2027-04-11</x:v>
      </x:c>
      <x:c r="G634" s="7" t="str"/>
      <x:c r="H634" s="7" t="n">
        <x:v>7</x:v>
      </x:c>
      <x:c r="I634" s="7"/>
      <x:c r="J634" s="7" t="n">
        <x:v>36</x:v>
      </x:c>
      <x:c r="K634" s="7" t="str">
        <x:v>unverified-denominator</x:v>
      </x:c>
      <x:c r="L634" s="7" t="d">
        <x:v>2026-09-16T05:12:38.111Z</x:v>
      </x:c>
      <x:c r="M634" s="7" t="str">
        <x:v>https://apm.activecommunities.com/portlandparks/Activity_Search/lifeguard-review/205632?locale=en-US</x:v>
      </x:c>
    </x:row>
    <x:row r="635" ht="38" customHeight="1">
      <x:c r="A635" s="8" t="str">
        <x:v>205633</x:v>
      </x:c>
      <x:c r="B635" s="11" t="str">
        <x:v>Lifeguard Review</x:v>
      </x:c>
      <x:c r="C635" s="11" t="str">
        <x:v>Mt Scott Indoor Pool</x:v>
      </x:c>
      <x:c r="D635" s="11" t="str">
        <x:v>Aquatics - Training</x:v>
      </x:c>
      <x:c r="E635" s="8" t="str">
        <x:v>undated</x:v>
      </x:c>
      <x:c r="F635" s="8" t="str">
        <x:v>2027-04-25</x:v>
      </x:c>
      <x:c r="G635" s="8" t="str"/>
      <x:c r="H635" s="8" t="n">
        <x:v>1</x:v>
      </x:c>
      <x:c r="I635" s="8"/>
      <x:c r="J635" s="8" t="n">
        <x:v>36</x:v>
      </x:c>
      <x:c r="K635" s="8" t="str">
        <x:v>unverified-denominator</x:v>
      </x:c>
      <x:c r="L635" s="8" t="d">
        <x:v>2026-09-16T05:12:38.111Z</x:v>
      </x:c>
      <x:c r="M635" s="8" t="str">
        <x:v>https://apm.activecommunities.com/portlandparks/Activity_Search/lifeguard-review/205633?locale=en-US</x:v>
      </x:c>
    </x:row>
    <x:row r="636" ht="38" customHeight="1">
      <x:c r="A636" s="7" t="str">
        <x:v>205634</x:v>
      </x:c>
      <x:c r="B636" s="12" t="str">
        <x:v>Lifeguard Review</x:v>
      </x:c>
      <x:c r="C636" s="12" t="str">
        <x:v>East Portland Indoor Pool</x:v>
      </x:c>
      <x:c r="D636" s="12" t="str">
        <x:v>Aquatics - Training</x:v>
      </x:c>
      <x:c r="E636" s="7" t="str">
        <x:v>undated</x:v>
      </x:c>
      <x:c r="F636" s="7" t="str">
        <x:v>2027-05-15</x:v>
      </x:c>
      <x:c r="G636" s="7" t="str"/>
      <x:c r="H636" s="7" t="n">
        <x:v>5</x:v>
      </x:c>
      <x:c r="I636" s="7"/>
      <x:c r="J636" s="7" t="n">
        <x:v>36</x:v>
      </x:c>
      <x:c r="K636" s="7" t="str">
        <x:v>unverified-denominator</x:v>
      </x:c>
      <x:c r="L636" s="7" t="d">
        <x:v>2026-09-16T05:12:38.111Z</x:v>
      </x:c>
      <x:c r="M636" s="7" t="str">
        <x:v>https://apm.activecommunities.com/portlandparks/Activity_Search/lifeguard-review/205634?locale=en-US</x:v>
      </x:c>
    </x:row>
    <x:row r="637" ht="38" customHeight="1">
      <x:c r="A637" s="8" t="str">
        <x:v>205635</x:v>
      </x:c>
      <x:c r="B637" s="11" t="str">
        <x:v>Lifeguard Review</x:v>
      </x:c>
      <x:c r="C637" s="11" t="str">
        <x:v>Mt Scott Indoor Pool</x:v>
      </x:c>
      <x:c r="D637" s="11" t="str">
        <x:v>Aquatics - Training</x:v>
      </x:c>
      <x:c r="E637" s="8" t="str">
        <x:v>undated</x:v>
      </x:c>
      <x:c r="F637" s="8" t="str">
        <x:v>2027-05-23</x:v>
      </x:c>
      <x:c r="G637" s="8" t="str"/>
      <x:c r="H637" s="8" t="n">
        <x:v>2</x:v>
      </x:c>
      <x:c r="I637" s="8"/>
      <x:c r="J637" s="8" t="n">
        <x:v>36</x:v>
      </x:c>
      <x:c r="K637" s="8" t="str">
        <x:v>unverified-denominator</x:v>
      </x:c>
      <x:c r="L637" s="8" t="d">
        <x:v>2026-09-16T05:12:38.111Z</x:v>
      </x:c>
      <x:c r="M637" s="8" t="str">
        <x:v>https://apm.activecommunities.com/portlandparks/Activity_Search/lifeguard-review/205635?locale=en-US</x:v>
      </x:c>
    </x:row>
    <x:row r="638" ht="38" customHeight="1">
      <x:c r="A638" s="7" t="str">
        <x:v>208537</x:v>
      </x:c>
      <x:c r="B638" s="12" t="str">
        <x:v>Literary Arts - Collage Party</x:v>
      </x:c>
      <x:c r="C638" s="12" t="str">
        <x:v>Multnomah Arts Ctr</x:v>
      </x:c>
      <x:c r="D638" s="12" t="str">
        <x:v>Arts - Literary, Writing</x:v>
      </x:c>
      <x:c r="E638" s="7" t="str">
        <x:v>undated</x:v>
      </x:c>
      <x:c r="F638" s="7" t="str">
        <x:v>2026-10-03</x:v>
      </x:c>
      <x:c r="G638" s="7" t="str"/>
      <x:c r="H638" s="7" t="n">
        <x:v>3</x:v>
      </x:c>
      <x:c r="I638" s="7"/>
      <x:c r="J638" s="7" t="n">
        <x:v>10</x:v>
      </x:c>
      <x:c r="K638" s="7" t="str">
        <x:v>unverified-denominator</x:v>
      </x:c>
      <x:c r="L638" s="7" t="d">
        <x:v>2026-09-16T05:12:38.111Z</x:v>
      </x:c>
      <x:c r="M638" s="7" t="str">
        <x:v>https://apm.activecommunities.com/portlandparks/Activity_Search/literary-arts---collage-party/208537?locale=en-US</x:v>
      </x:c>
    </x:row>
    <x:row r="639" ht="38" customHeight="1">
      <x:c r="A639" s="8" t="str">
        <x:v>208538</x:v>
      </x:c>
      <x:c r="B639" s="11" t="str">
        <x:v>Literary Arts - Collage Party</x:v>
      </x:c>
      <x:c r="C639" s="11" t="str">
        <x:v>Multnomah Arts Ctr</x:v>
      </x:c>
      <x:c r="D639" s="11" t="str">
        <x:v>Arts - Literary, Writing</x:v>
      </x:c>
      <x:c r="E639" s="8" t="str">
        <x:v>undated</x:v>
      </x:c>
      <x:c r="F639" s="8" t="str">
        <x:v>2026-11-07</x:v>
      </x:c>
      <x:c r="G639" s="8" t="str"/>
      <x:c r="H639" s="8" t="n">
        <x:v>0</x:v>
      </x:c>
      <x:c r="I639" s="8"/>
      <x:c r="J639" s="8" t="n">
        <x:v>10</x:v>
      </x:c>
      <x:c r="K639" s="8" t="str">
        <x:v>unverified-denominator</x:v>
      </x:c>
      <x:c r="L639" s="8" t="d">
        <x:v>2026-09-16T05:12:38.111Z</x:v>
      </x:c>
      <x:c r="M639" s="8" t="str">
        <x:v>https://apm.activecommunities.com/portlandparks/Activity_Search/literary-arts---collage-party/208538?locale=en-US</x:v>
      </x:c>
    </x:row>
    <x:row r="640" ht="38" customHeight="1">
      <x:c r="A640" s="7" t="str">
        <x:v>208544</x:v>
      </x:c>
      <x:c r="B640" s="12" t="str">
        <x:v>Literary Arts - Creating Short Fiction</x:v>
      </x:c>
      <x:c r="C640" s="12" t="str">
        <x:v>Multnomah Arts Ctr</x:v>
      </x:c>
      <x:c r="D640" s="12" t="str">
        <x:v>Arts - Literary, Writing</x:v>
      </x:c>
      <x:c r="E640" s="7" t="str">
        <x:v>future</x:v>
      </x:c>
      <x:c r="F640" s="7" t="str">
        <x:v>2026-10-03</x:v>
      </x:c>
      <x:c r="G640" s="7" t="str">
        <x:v>2026-12-12</x:v>
      </x:c>
      <x:c r="H640" s="7" t="n">
        <x:v>8</x:v>
      </x:c>
      <x:c r="I640" s="7"/>
      <x:c r="J640" s="7" t="n">
        <x:v>10</x:v>
      </x:c>
      <x:c r="K640" s="7" t="str">
        <x:v>unverified-denominator</x:v>
      </x:c>
      <x:c r="L640" s="7" t="d">
        <x:v>2026-09-16T05:12:38.111Z</x:v>
      </x:c>
      <x:c r="M640" s="7" t="str">
        <x:v>https://apm.activecommunities.com/portlandparks/Activity_Search/literary-arts---creating-short-fiction/208544?locale=en-US</x:v>
      </x:c>
    </x:row>
    <x:row r="641" ht="38" customHeight="1">
      <x:c r="A641" s="8" t="str">
        <x:v>208543</x:v>
      </x:c>
      <x:c r="B641" s="11" t="str">
        <x:v>Literary Arts - Creative Nonfiction</x:v>
      </x:c>
      <x:c r="C641" s="11" t="str">
        <x:v>Multnomah Arts Ctr</x:v>
      </x:c>
      <x:c r="D641" s="11" t="str">
        <x:v>Arts - Literary, Writing</x:v>
      </x:c>
      <x:c r="E641" s="8" t="str">
        <x:v>future</x:v>
      </x:c>
      <x:c r="F641" s="8" t="str">
        <x:v>2026-09-30</x:v>
      </x:c>
      <x:c r="G641" s="8" t="str">
        <x:v>2026-12-09</x:v>
      </x:c>
      <x:c r="H641" s="8" t="n">
        <x:v>8</x:v>
      </x:c>
      <x:c r="I641" s="8"/>
      <x:c r="J641" s="8" t="n">
        <x:v>10</x:v>
      </x:c>
      <x:c r="K641" s="8" t="str">
        <x:v>unverified-denominator</x:v>
      </x:c>
      <x:c r="L641" s="8" t="d">
        <x:v>2026-09-16T05:12:38.111Z</x:v>
      </x:c>
      <x:c r="M641" s="8" t="str">
        <x:v>https://apm.activecommunities.com/portlandparks/Activity_Search/literary-arts---creative-nonfiction/208543?locale=en-US</x:v>
      </x:c>
    </x:row>
    <x:row r="642" ht="38" customHeight="1">
      <x:c r="A642" s="7" t="str">
        <x:v>208539</x:v>
      </x:c>
      <x:c r="B642" s="12" t="str">
        <x:v>Literary Arts - Intro to Creative Writing</x:v>
      </x:c>
      <x:c r="C642" s="12" t="str">
        <x:v>Multnomah Arts Ctr</x:v>
      </x:c>
      <x:c r="D642" s="12" t="str">
        <x:v>Arts - Literary, Writing</x:v>
      </x:c>
      <x:c r="E642" s="7" t="str">
        <x:v>future</x:v>
      </x:c>
      <x:c r="F642" s="7" t="str">
        <x:v>2026-09-29</x:v>
      </x:c>
      <x:c r="G642" s="7" t="str">
        <x:v>2026-12-01</x:v>
      </x:c>
      <x:c r="H642" s="7" t="n">
        <x:v>9</x:v>
      </x:c>
      <x:c r="I642" s="7"/>
      <x:c r="J642" s="7" t="n">
        <x:v>10</x:v>
      </x:c>
      <x:c r="K642" s="7" t="str">
        <x:v>unverified-denominator</x:v>
      </x:c>
      <x:c r="L642" s="7" t="d">
        <x:v>2026-09-16T05:12:38.111Z</x:v>
      </x:c>
      <x:c r="M642" s="7" t="str">
        <x:v>https://apm.activecommunities.com/portlandparks/Activity_Search/literary-arts---intro-to-creative-writing/208539?locale=en-US</x:v>
      </x:c>
    </x:row>
    <x:row r="643" ht="38" customHeight="1">
      <x:c r="A643" s="8" t="str">
        <x:v>207295</x:v>
      </x:c>
      <x:c r="B643" s="11" t="str">
        <x:v>Literary Arts - Memoir Writing</x:v>
      </x:c>
      <x:c r="C643" s="11" t="str">
        <x:v>Multnomah Arts Ctr</x:v>
      </x:c>
      <x:c r="D643" s="11" t="str">
        <x:v>Arts - Literary, Writing</x:v>
      </x:c>
      <x:c r="E643" s="8" t="str">
        <x:v>future</x:v>
      </x:c>
      <x:c r="F643" s="8" t="str">
        <x:v>2026-09-28</x:v>
      </x:c>
      <x:c r="G643" s="8" t="str">
        <x:v>2026-12-07</x:v>
      </x:c>
      <x:c r="H643" s="8" t="n">
        <x:v>6</x:v>
      </x:c>
      <x:c r="I643" s="8" t="n">
        <x:v>3</x:v>
      </x:c>
      <x:c r="J643" s="8" t="n">
        <x:v>6</x:v>
      </x:c>
      <x:c r="K643" s="8" t="str">
        <x:v>unverified-denominator</x:v>
      </x:c>
      <x:c r="L643" s="8" t="d">
        <x:v>2026-09-16T05:12:38.111Z</x:v>
      </x:c>
      <x:c r="M643" s="8" t="str">
        <x:v>https://apm.activecommunities.com/portlandparks/Activity_Search/literary-arts---memoir-writing/207295?locale=en-US</x:v>
      </x:c>
    </x:row>
    <x:row r="644" ht="38" customHeight="1">
      <x:c r="A644" s="7" t="str">
        <x:v>207294</x:v>
      </x:c>
      <x:c r="B644" s="12" t="str">
        <x:v>Literary Arts - Poetry Writing</x:v>
      </x:c>
      <x:c r="C644" s="12" t="str">
        <x:v>Multnomah Arts Ctr</x:v>
      </x:c>
      <x:c r="D644" s="12" t="str">
        <x:v>Arts - Literary, Writing</x:v>
      </x:c>
      <x:c r="E644" s="7" t="str">
        <x:v>future</x:v>
      </x:c>
      <x:c r="F644" s="7" t="str">
        <x:v>2026-09-28</x:v>
      </x:c>
      <x:c r="G644" s="7" t="str">
        <x:v>2026-12-07</x:v>
      </x:c>
      <x:c r="H644" s="7" t="n">
        <x:v>2</x:v>
      </x:c>
      <x:c r="I644" s="7"/>
      <x:c r="J644" s="7" t="n">
        <x:v>10</x:v>
      </x:c>
      <x:c r="K644" s="7" t="str">
        <x:v>unverified-denominator</x:v>
      </x:c>
      <x:c r="L644" s="7" t="d">
        <x:v>2026-09-16T05:12:38.111Z</x:v>
      </x:c>
      <x:c r="M644" s="7" t="str">
        <x:v>https://apm.activecommunities.com/portlandparks/Activity_Search/literary-arts---poetry-writing/207294?locale=en-US</x:v>
      </x:c>
    </x:row>
    <x:row r="645" ht="38" customHeight="1">
      <x:c r="A645" s="8" t="str">
        <x:v>208540</x:v>
      </x:c>
      <x:c r="B645" s="11" t="str">
        <x:v>Literary Arts - Poetry Writing</x:v>
      </x:c>
      <x:c r="C645" s="11" t="str">
        <x:v>Multnomah Arts Ctr</x:v>
      </x:c>
      <x:c r="D645" s="11" t="str">
        <x:v>Arts - Literary, Writing</x:v>
      </x:c>
      <x:c r="E645" s="8" t="str">
        <x:v>future</x:v>
      </x:c>
      <x:c r="F645" s="8" t="str">
        <x:v>2026-10-01</x:v>
      </x:c>
      <x:c r="G645" s="8" t="str">
        <x:v>2026-12-10</x:v>
      </x:c>
      <x:c r="H645" s="8" t="n">
        <x:v>7</x:v>
      </x:c>
      <x:c r="I645" s="8"/>
      <x:c r="J645" s="8" t="n">
        <x:v>10</x:v>
      </x:c>
      <x:c r="K645" s="8" t="str">
        <x:v>unverified-denominator</x:v>
      </x:c>
      <x:c r="L645" s="8" t="d">
        <x:v>2026-09-16T05:12:38.111Z</x:v>
      </x:c>
      <x:c r="M645" s="8" t="str">
        <x:v>https://apm.activecommunities.com/portlandparks/Activity_Search/literary-arts---poetry-writing/208540?locale=en-US</x:v>
      </x:c>
    </x:row>
    <x:row r="646" ht="38" customHeight="1">
      <x:c r="A646" s="7" t="str">
        <x:v>208541</x:v>
      </x:c>
      <x:c r="B646" s="12" t="str">
        <x:v>Literary Arts - Write Your Own Adventure</x:v>
      </x:c>
      <x:c r="C646" s="12" t="str">
        <x:v>Multnomah Arts Ctr</x:v>
      </x:c>
      <x:c r="D646" s="12" t="str">
        <x:v>Arts - Literary, Writing</x:v>
      </x:c>
      <x:c r="E646" s="7" t="str">
        <x:v>future</x:v>
      </x:c>
      <x:c r="F646" s="7" t="str">
        <x:v>2026-10-01</x:v>
      </x:c>
      <x:c r="G646" s="7" t="str">
        <x:v>2026-12-10</x:v>
      </x:c>
      <x:c r="H646" s="7" t="n">
        <x:v>9</x:v>
      </x:c>
      <x:c r="I646" s="7"/>
      <x:c r="J646" s="7" t="n">
        <x:v>10</x:v>
      </x:c>
      <x:c r="K646" s="7" t="str">
        <x:v>unverified-denominator</x:v>
      </x:c>
      <x:c r="L646" s="7" t="d">
        <x:v>2026-09-16T05:12:38.111Z</x:v>
      </x:c>
      <x:c r="M646" s="7" t="str">
        <x:v>https://apm.activecommunities.com/portlandparks/Activity_Search/literary-arts---write-your-own-adventure/208541?locale=en-US</x:v>
      </x:c>
    </x:row>
    <x:row r="647" ht="38" customHeight="1">
      <x:c r="A647" s="8" t="str">
        <x:v>208542</x:v>
      </x:c>
      <x:c r="B647" s="11" t="str">
        <x:v>Literary Arts - Writing the Personal Essay</x:v>
      </x:c>
      <x:c r="C647" s="11" t="str">
        <x:v>Multnomah Arts Ctr</x:v>
      </x:c>
      <x:c r="D647" s="11" t="str">
        <x:v>Arts - Literary, Writing</x:v>
      </x:c>
      <x:c r="E647" s="8" t="str">
        <x:v>future</x:v>
      </x:c>
      <x:c r="F647" s="8" t="str">
        <x:v>2026-09-28</x:v>
      </x:c>
      <x:c r="G647" s="8" t="str">
        <x:v>2026-12-07</x:v>
      </x:c>
      <x:c r="H647" s="8" t="n">
        <x:v>10</x:v>
      </x:c>
      <x:c r="I647" s="8" t="n">
        <x:v>4</x:v>
      </x:c>
      <x:c r="J647" s="8" t="n">
        <x:v>10</x:v>
      </x:c>
      <x:c r="K647" s="8" t="str">
        <x:v>unverified-denominator</x:v>
      </x:c>
      <x:c r="L647" s="8" t="d">
        <x:v>2026-09-16T05:12:38.111Z</x:v>
      </x:c>
      <x:c r="M647" s="8" t="str">
        <x:v>https://apm.activecommunities.com/portlandparks/Activity_Search/literary-arts---writing-the-personal-essay/208542?locale=en-US</x:v>
      </x:c>
    </x:row>
    <x:row r="648" ht="38" customHeight="1">
      <x:c r="A648" s="7" t="str">
        <x:v>208436</x:v>
      </x:c>
      <x:c r="B648" s="12" t="str">
        <x:v>Literary Arts - Writing Your Memories</x:v>
      </x:c>
      <x:c r="C648" s="12" t="str">
        <x:v>St Johns Cmty Ctr</x:v>
      </x:c>
      <x:c r="D648" s="12" t="str">
        <x:v>Continuing Education</x:v>
      </x:c>
      <x:c r="E648" s="7" t="str">
        <x:v>future</x:v>
      </x:c>
      <x:c r="F648" s="7" t="str">
        <x:v>2026-09-30</x:v>
      </x:c>
      <x:c r="G648" s="7" t="str">
        <x:v>2026-10-28</x:v>
      </x:c>
      <x:c r="H648" s="7" t="n">
        <x:v>1</x:v>
      </x:c>
      <x:c r="I648" s="7"/>
      <x:c r="J648" s="7" t="n">
        <x:v>8</x:v>
      </x:c>
      <x:c r="K648" s="7" t="str">
        <x:v>unverified-denominator</x:v>
      </x:c>
      <x:c r="L648" s="7" t="d">
        <x:v>2026-09-16T05:12:38.111Z</x:v>
      </x:c>
      <x:c r="M648" s="7" t="str">
        <x:v>https://apm.activecommunities.com/portlandparks/Activity_Search/literary-arts---writing-your-memories/208436?locale=en-US</x:v>
      </x:c>
    </x:row>
    <x:row r="649" ht="38" customHeight="1">
      <x:c r="A649" s="8" t="str">
        <x:v>208438</x:v>
      </x:c>
      <x:c r="B649" s="11" t="str">
        <x:v>Literary Arts - Writing Your Memories</x:v>
      </x:c>
      <x:c r="C649" s="11" t="str">
        <x:v>St Johns Cmty Ctr</x:v>
      </x:c>
      <x:c r="D649" s="11" t="str">
        <x:v>Continuing Education</x:v>
      </x:c>
      <x:c r="E649" s="8" t="str">
        <x:v>future</x:v>
      </x:c>
      <x:c r="F649" s="8" t="str">
        <x:v>2026-11-04</x:v>
      </x:c>
      <x:c r="G649" s="8" t="str">
        <x:v>2026-12-09</x:v>
      </x:c>
      <x:c r="H649" s="8" t="n">
        <x:v>0</x:v>
      </x:c>
      <x:c r="I649" s="8"/>
      <x:c r="J649" s="8" t="n">
        <x:v>8</x:v>
      </x:c>
      <x:c r="K649" s="8" t="str">
        <x:v>unverified-denominator</x:v>
      </x:c>
      <x:c r="L649" s="8" t="d">
        <x:v>2026-09-16T05:12:38.111Z</x:v>
      </x:c>
      <x:c r="M649" s="8" t="str">
        <x:v>https://apm.activecommunities.com/portlandparks/Activity_Search/literary-arts---writing-your-memories/208438?locale=en-US</x:v>
      </x:c>
    </x:row>
    <x:row r="650" ht="38" customHeight="1">
      <x:c r="A650" s="7" t="str">
        <x:v>205018</x:v>
      </x:c>
      <x:c r="B650" s="12" t="str">
        <x:v>Literary Arts - Writing Your Memories</x:v>
      </x:c>
      <x:c r="C650" s="12" t="str">
        <x:v>St Johns Cmty Ctr</x:v>
      </x:c>
      <x:c r="D650" s="12" t="str">
        <x:v>Continuing Education</x:v>
      </x:c>
      <x:c r="E650" s="7" t="str">
        <x:v>active</x:v>
      </x:c>
      <x:c r="F650" s="7" t="str">
        <x:v>2026-09-02</x:v>
      </x:c>
      <x:c r="G650" s="7" t="str">
        <x:v>2026-09-23</x:v>
      </x:c>
      <x:c r="H650" s="7" t="n">
        <x:v>5</x:v>
      </x:c>
      <x:c r="I650" s="7"/>
      <x:c r="J650" s="7" t="n">
        <x:v>8</x:v>
      </x:c>
      <x:c r="K650" s="7" t="str">
        <x:v>unverified-denominator</x:v>
      </x:c>
      <x:c r="L650" s="7" t="d">
        <x:v>2026-09-16T05:12:38.111Z</x:v>
      </x:c>
      <x:c r="M650" s="7" t="str">
        <x:v>https://apm.activecommunities.com/portlandparks/Activity_Search/literary-arts---writing-your-memories/205018?locale=en-US</x:v>
      </x:c>
    </x:row>
    <x:row r="651" ht="38" customHeight="1">
      <x:c r="A651" s="8" t="str">
        <x:v>204547</x:v>
      </x:c>
      <x:c r="B651" s="11" t="str">
        <x:v>Martial Arts - Tae Kwon Do Kids</x:v>
      </x:c>
      <x:c r="C651" s="11" t="str">
        <x:v>East Portland Cmty Ctr</x:v>
      </x:c>
      <x:c r="D651" s="11" t="str">
        <x:v>Sports - Martial Arts &amp; Self Defense</x:v>
      </x:c>
      <x:c r="E651" s="8" t="str">
        <x:v>active</x:v>
      </x:c>
      <x:c r="F651" s="8" t="str">
        <x:v>2026-09-03</x:v>
      </x:c>
      <x:c r="G651" s="8" t="str">
        <x:v>2026-09-24</x:v>
      </x:c>
      <x:c r="H651" s="8" t="n">
        <x:v>20</x:v>
      </x:c>
      <x:c r="I651" s="8" t="n">
        <x:v>4</x:v>
      </x:c>
      <x:c r="J651" s="8" t="n">
        <x:v>20</x:v>
      </x:c>
      <x:c r="K651" s="8" t="str">
        <x:v>unverified-denominator</x:v>
      </x:c>
      <x:c r="L651" s="8" t="d">
        <x:v>2026-09-16T05:12:38.111Z</x:v>
      </x:c>
      <x:c r="M651" s="8" t="str">
        <x:v>https://apm.activecommunities.com/portlandparks/Activity_Search/martial-arts---tae-kwon-do-kids/204547?locale=en-US</x:v>
      </x:c>
    </x:row>
    <x:row r="652" ht="38" customHeight="1">
      <x:c r="A652" s="7" t="str">
        <x:v>207811</x:v>
      </x:c>
      <x:c r="B652" s="12" t="str">
        <x:v>Martial Arts - Tae Kwon Do Kids</x:v>
      </x:c>
      <x:c r="C652" s="12" t="str">
        <x:v>East Portland Cmty Ctr</x:v>
      </x:c>
      <x:c r="D652" s="12" t="str">
        <x:v>Sports - Martial Arts &amp; Self Defense</x:v>
      </x:c>
      <x:c r="E652" s="7" t="str">
        <x:v>future</x:v>
      </x:c>
      <x:c r="F652" s="7" t="str">
        <x:v>2026-10-01</x:v>
      </x:c>
      <x:c r="G652" s="7" t="str">
        <x:v>2026-12-17</x:v>
      </x:c>
      <x:c r="H652" s="7" t="n">
        <x:v>19</x:v>
      </x:c>
      <x:c r="I652" s="7"/>
      <x:c r="J652" s="7" t="n">
        <x:v>20</x:v>
      </x:c>
      <x:c r="K652" s="7" t="str">
        <x:v>unverified-denominator</x:v>
      </x:c>
      <x:c r="L652" s="7" t="d">
        <x:v>2026-09-16T05:12:38.111Z</x:v>
      </x:c>
      <x:c r="M652" s="7" t="str">
        <x:v>https://apm.activecommunities.com/portlandparks/Activity_Search/martial-arts---tae-kwon-do-kids/207811?locale=en-US</x:v>
      </x:c>
    </x:row>
    <x:row r="653" ht="38" customHeight="1">
      <x:c r="A653" s="8" t="str">
        <x:v>207812</x:v>
      </x:c>
      <x:c r="B653" s="11" t="str">
        <x:v>Martial Arts - Tae Kwon Do Kids Continued</x:v>
      </x:c>
      <x:c r="C653" s="11" t="str">
        <x:v>East Portland Cmty Ctr</x:v>
      </x:c>
      <x:c r="D653" s="11" t="str">
        <x:v>Sports - Martial Arts &amp; Self Defense</x:v>
      </x:c>
      <x:c r="E653" s="8" t="str">
        <x:v>future</x:v>
      </x:c>
      <x:c r="F653" s="8" t="str">
        <x:v>2026-09-28</x:v>
      </x:c>
      <x:c r="G653" s="8" t="str">
        <x:v>2026-12-28</x:v>
      </x:c>
      <x:c r="H653" s="8" t="n">
        <x:v>4</x:v>
      </x:c>
      <x:c r="I653" s="8"/>
      <x:c r="J653" s="8" t="n">
        <x:v>20</x:v>
      </x:c>
      <x:c r="K653" s="8" t="str">
        <x:v>unverified-denominator</x:v>
      </x:c>
      <x:c r="L653" s="8" t="d">
        <x:v>2026-09-16T05:12:38.111Z</x:v>
      </x:c>
      <x:c r="M653" s="8" t="str">
        <x:v>https://apm.activecommunities.com/portlandparks/Activity_Search/martial-arts---tae-kwon-do-kids-continued/207812?locale=en-US</x:v>
      </x:c>
    </x:row>
    <x:row r="654" ht="38" customHeight="1">
      <x:c r="A654" s="7" t="str">
        <x:v>204548</x:v>
      </x:c>
      <x:c r="B654" s="12" t="str">
        <x:v>Martial Arts - Tae Kwon Do Kids Continued</x:v>
      </x:c>
      <x:c r="C654" s="12" t="str">
        <x:v>East Portland Cmty Ctr</x:v>
      </x:c>
      <x:c r="D654" s="12" t="str">
        <x:v>Sports - Martial Arts &amp; Self Defense</x:v>
      </x:c>
      <x:c r="E654" s="7" t="str">
        <x:v>active</x:v>
      </x:c>
      <x:c r="F654" s="7" t="str">
        <x:v>2026-08-31</x:v>
      </x:c>
      <x:c r="G654" s="7" t="str">
        <x:v>2026-09-21</x:v>
      </x:c>
      <x:c r="H654" s="7" t="n">
        <x:v>6</x:v>
      </x:c>
      <x:c r="I654" s="7"/>
      <x:c r="J654" s="7" t="n">
        <x:v>20</x:v>
      </x:c>
      <x:c r="K654" s="7" t="str">
        <x:v>unverified-denominator</x:v>
      </x:c>
      <x:c r="L654" s="7" t="d">
        <x:v>2026-09-16T05:12:38.111Z</x:v>
      </x:c>
      <x:c r="M654" s="7" t="str">
        <x:v>https://apm.activecommunities.com/portlandparks/Activity_Search/martial-arts---tae-kwon-do-kids-continued/204548?locale=en-US</x:v>
      </x:c>
    </x:row>
    <x:row r="655" ht="38" customHeight="1">
      <x:c r="A655" s="8" t="str">
        <x:v>207750</x:v>
      </x:c>
      <x:c r="B655" s="11" t="str">
        <x:v>MDCC - Adult Beginner</x:v>
      </x:c>
      <x:c r="C655" s="11" t="str">
        <x:v>Matt Dishman Indoor Pool</x:v>
      </x:c>
      <x:c r="D655" s="11" t="str">
        <x:v>Aquatics - Lessons</x:v>
      </x:c>
      <x:c r="E655" s="8" t="str">
        <x:v>future</x:v>
      </x:c>
      <x:c r="F655" s="8" t="str">
        <x:v>2026-09-28</x:v>
      </x:c>
      <x:c r="G655" s="8" t="str">
        <x:v>2026-10-28</x:v>
      </x:c>
      <x:c r="H655" s="8" t="n">
        <x:v>8</x:v>
      </x:c>
      <x:c r="I655" s="8" t="n">
        <x:v>4</x:v>
      </x:c>
      <x:c r="J655" s="8" t="n">
        <x:v>8</x:v>
      </x:c>
      <x:c r="K655" s="8" t="str">
        <x:v>unverified-denominator</x:v>
      </x:c>
      <x:c r="L655" s="8" t="d">
        <x:v>2026-09-16T05:12:38.111Z</x:v>
      </x:c>
      <x:c r="M655" s="8" t="str">
        <x:v>https://apm.activecommunities.com/portlandparks/Activity_Search/mdcc---adult-beginner/207750?locale=en-US</x:v>
      </x:c>
    </x:row>
    <x:row r="656" ht="38" customHeight="1">
      <x:c r="A656" s="7" t="str">
        <x:v>207763</x:v>
      </x:c>
      <x:c r="B656" s="12" t="str">
        <x:v>MDCC - Adult Beginner</x:v>
      </x:c>
      <x:c r="C656" s="12" t="str">
        <x:v>Matt Dishman Indoor Pool</x:v>
      </x:c>
      <x:c r="D656" s="12" t="str">
        <x:v>Aquatics - Lessons</x:v>
      </x:c>
      <x:c r="E656" s="7" t="str">
        <x:v>future</x:v>
      </x:c>
      <x:c r="F656" s="7" t="str">
        <x:v>2026-09-29</x:v>
      </x:c>
      <x:c r="G656" s="7" t="str">
        <x:v>2026-10-29</x:v>
      </x:c>
      <x:c r="H656" s="7" t="n">
        <x:v>8</x:v>
      </x:c>
      <x:c r="I656" s="7" t="n">
        <x:v>3</x:v>
      </x:c>
      <x:c r="J656" s="7" t="n">
        <x:v>8</x:v>
      </x:c>
      <x:c r="K656" s="7" t="str">
        <x:v>unverified-denominator</x:v>
      </x:c>
      <x:c r="L656" s="7" t="d">
        <x:v>2026-09-16T05:12:38.111Z</x:v>
      </x:c>
      <x:c r="M656" s="7" t="str">
        <x:v>https://apm.activecommunities.com/portlandparks/Activity_Search/mdcc---adult-beginner/207763?locale=en-US</x:v>
      </x:c>
    </x:row>
    <x:row r="657" ht="38" customHeight="1">
      <x:c r="A657" s="8" t="str">
        <x:v>207787</x:v>
      </x:c>
      <x:c r="B657" s="11" t="str">
        <x:v>MDCC - Adult Beginner</x:v>
      </x:c>
      <x:c r="C657" s="11" t="str">
        <x:v>Matt Dishman Indoor Pool</x:v>
      </x:c>
      <x:c r="D657" s="11" t="str">
        <x:v>Aquatics - Lessons</x:v>
      </x:c>
      <x:c r="E657" s="8" t="str">
        <x:v>future</x:v>
      </x:c>
      <x:c r="F657" s="8" t="str">
        <x:v>2026-10-03</x:v>
      </x:c>
      <x:c r="G657" s="8" t="str">
        <x:v>2026-12-12</x:v>
      </x:c>
      <x:c r="H657" s="8" t="n">
        <x:v>8</x:v>
      </x:c>
      <x:c r="I657" s="8" t="n">
        <x:v>2</x:v>
      </x:c>
      <x:c r="J657" s="8" t="n">
        <x:v>8</x:v>
      </x:c>
      <x:c r="K657" s="8" t="str">
        <x:v>unverified-denominator</x:v>
      </x:c>
      <x:c r="L657" s="8" t="d">
        <x:v>2026-09-16T05:12:38.111Z</x:v>
      </x:c>
      <x:c r="M657" s="8" t="str">
        <x:v>https://apm.activecommunities.com/portlandparks/Activity_Search/mdcc---adult-beginner/207787?locale=en-US</x:v>
      </x:c>
    </x:row>
    <x:row r="658" ht="38" customHeight="1">
      <x:c r="A658" s="7" t="str">
        <x:v>207751</x:v>
      </x:c>
      <x:c r="B658" s="12" t="str">
        <x:v>MDCC - Angelfish</x:v>
      </x:c>
      <x:c r="C658" s="12" t="str">
        <x:v>Matt Dishman Indoor Pool</x:v>
      </x:c>
      <x:c r="D658" s="12" t="str">
        <x:v>Aquatics - Lessons</x:v>
      </x:c>
      <x:c r="E658" s="7" t="str">
        <x:v>future</x:v>
      </x:c>
      <x:c r="F658" s="7" t="str">
        <x:v>2026-09-29</x:v>
      </x:c>
      <x:c r="G658" s="7" t="str">
        <x:v>2026-10-29</x:v>
      </x:c>
      <x:c r="H658" s="7" t="n">
        <x:v>6</x:v>
      </x:c>
      <x:c r="I658" s="7" t="n">
        <x:v>6</x:v>
      </x:c>
      <x:c r="J658" s="7" t="n">
        <x:v>6</x:v>
      </x:c>
      <x:c r="K658" s="7" t="str">
        <x:v>unverified-denominator</x:v>
      </x:c>
      <x:c r="L658" s="7" t="d">
        <x:v>2026-09-16T05:12:38.111Z</x:v>
      </x:c>
      <x:c r="M658" s="7" t="str">
        <x:v>https://apm.activecommunities.com/portlandparks/Activity_Search/mdcc---angelfish/207751?locale=en-US</x:v>
      </x:c>
    </x:row>
    <x:row r="659" ht="38" customHeight="1">
      <x:c r="A659" s="8" t="str">
        <x:v>207737</x:v>
      </x:c>
      <x:c r="B659" s="11" t="str">
        <x:v>MDCC - Angelfish</x:v>
      </x:c>
      <x:c r="C659" s="11" t="str">
        <x:v>Matt Dishman Indoor Pool</x:v>
      </x:c>
      <x:c r="D659" s="11" t="str">
        <x:v>Aquatics - Lessons</x:v>
      </x:c>
      <x:c r="E659" s="8" t="str">
        <x:v>future</x:v>
      </x:c>
      <x:c r="F659" s="8" t="str">
        <x:v>2026-09-28</x:v>
      </x:c>
      <x:c r="G659" s="8" t="str">
        <x:v>2026-10-28</x:v>
      </x:c>
      <x:c r="H659" s="8" t="n">
        <x:v>6</x:v>
      </x:c>
      <x:c r="I659" s="8" t="n">
        <x:v>1</x:v>
      </x:c>
      <x:c r="J659" s="8" t="n">
        <x:v>6</x:v>
      </x:c>
      <x:c r="K659" s="8" t="str">
        <x:v>unverified-denominator</x:v>
      </x:c>
      <x:c r="L659" s="8" t="d">
        <x:v>2026-09-16T05:12:38.111Z</x:v>
      </x:c>
      <x:c r="M659" s="8" t="str">
        <x:v>https://apm.activecommunities.com/portlandparks/Activity_Search/mdcc---angelfish/207737?locale=en-US</x:v>
      </x:c>
    </x:row>
    <x:row r="660" ht="38" customHeight="1">
      <x:c r="A660" s="7" t="str">
        <x:v>207781</x:v>
      </x:c>
      <x:c r="B660" s="12" t="str">
        <x:v>MDCC - Angelfish</x:v>
      </x:c>
      <x:c r="C660" s="12" t="str">
        <x:v>Matt Dishman Indoor Pool</x:v>
      </x:c>
      <x:c r="D660" s="12" t="str">
        <x:v>Aquatics - Lessons</x:v>
      </x:c>
      <x:c r="E660" s="7" t="str">
        <x:v>future</x:v>
      </x:c>
      <x:c r="F660" s="7" t="str">
        <x:v>2026-10-03</x:v>
      </x:c>
      <x:c r="G660" s="7" t="str">
        <x:v>2026-12-12</x:v>
      </x:c>
      <x:c r="H660" s="7" t="n">
        <x:v>6</x:v>
      </x:c>
      <x:c r="I660" s="7" t="n">
        <x:v>3</x:v>
      </x:c>
      <x:c r="J660" s="7" t="n">
        <x:v>6</x:v>
      </x:c>
      <x:c r="K660" s="7" t="str">
        <x:v>unverified-denominator</x:v>
      </x:c>
      <x:c r="L660" s="7" t="d">
        <x:v>2026-09-16T05:12:38.111Z</x:v>
      </x:c>
      <x:c r="M660" s="7" t="str">
        <x:v>https://apm.activecommunities.com/portlandparks/Activity_Search/mdcc---angelfish/207781?locale=en-US</x:v>
      </x:c>
    </x:row>
    <x:row r="661" ht="38" customHeight="1">
      <x:c r="A661" s="8" t="str">
        <x:v>207724</x:v>
      </x:c>
      <x:c r="B661" s="11" t="str">
        <x:v>MDCC - Angelfish</x:v>
      </x:c>
      <x:c r="C661" s="11" t="str">
        <x:v>Matt Dishman Indoor Pool</x:v>
      </x:c>
      <x:c r="D661" s="11" t="str">
        <x:v>Aquatics - Lessons</x:v>
      </x:c>
      <x:c r="E661" s="8" t="str">
        <x:v>future</x:v>
      </x:c>
      <x:c r="F661" s="8" t="str">
        <x:v>2026-09-29</x:v>
      </x:c>
      <x:c r="G661" s="8" t="str">
        <x:v>2026-10-29</x:v>
      </x:c>
      <x:c r="H661" s="8" t="n">
        <x:v>4</x:v>
      </x:c>
      <x:c r="I661" s="8"/>
      <x:c r="J661" s="8" t="n">
        <x:v>6</x:v>
      </x:c>
      <x:c r="K661" s="8" t="str">
        <x:v>unverified-denominator</x:v>
      </x:c>
      <x:c r="L661" s="8" t="d">
        <x:v>2026-09-16T05:12:38.111Z</x:v>
      </x:c>
      <x:c r="M661" s="8" t="str">
        <x:v>https://apm.activecommunities.com/portlandparks/Activity_Search/mdcc---angelfish/207724?locale=en-US</x:v>
      </x:c>
    </x:row>
    <x:row r="662" ht="38" customHeight="1">
      <x:c r="A662" s="7" t="str">
        <x:v>207727</x:v>
      </x:c>
      <x:c r="B662" s="12" t="str">
        <x:v>MDCC - Angelfish</x:v>
      </x:c>
      <x:c r="C662" s="12" t="str">
        <x:v>Matt Dishman Indoor Pool</x:v>
      </x:c>
      <x:c r="D662" s="12" t="str">
        <x:v>Aquatics - Lessons</x:v>
      </x:c>
      <x:c r="E662" s="7" t="str">
        <x:v>future</x:v>
      </x:c>
      <x:c r="F662" s="7" t="str">
        <x:v>2026-09-29</x:v>
      </x:c>
      <x:c r="G662" s="7" t="str">
        <x:v>2026-10-29</x:v>
      </x:c>
      <x:c r="H662" s="7" t="n">
        <x:v>5</x:v>
      </x:c>
      <x:c r="I662" s="7"/>
      <x:c r="J662" s="7" t="n">
        <x:v>6</x:v>
      </x:c>
      <x:c r="K662" s="7" t="str">
        <x:v>unverified-denominator</x:v>
      </x:c>
      <x:c r="L662" s="7" t="d">
        <x:v>2026-09-16T05:12:38.111Z</x:v>
      </x:c>
      <x:c r="M662" s="7" t="str">
        <x:v>https://apm.activecommunities.com/portlandparks/Activity_Search/mdcc---angelfish/207727?locale=en-US</x:v>
      </x:c>
    </x:row>
    <x:row r="663" ht="38" customHeight="1">
      <x:c r="A663" s="8" t="str">
        <x:v>207782</x:v>
      </x:c>
      <x:c r="B663" s="11" t="str">
        <x:v>MDCC - Blue Makos</x:v>
      </x:c>
      <x:c r="C663" s="11" t="str">
        <x:v>Matt Dishman Indoor Pool</x:v>
      </x:c>
      <x:c r="D663" s="11" t="str">
        <x:v>Aquatics - Lessons</x:v>
      </x:c>
      <x:c r="E663" s="8" t="str">
        <x:v>future</x:v>
      </x:c>
      <x:c r="F663" s="8" t="str">
        <x:v>2026-10-03</x:v>
      </x:c>
      <x:c r="G663" s="8" t="str">
        <x:v>2026-12-12</x:v>
      </x:c>
      <x:c r="H663" s="8" t="n">
        <x:v>20</x:v>
      </x:c>
      <x:c r="I663" s="8" t="n">
        <x:v>23</x:v>
      </x:c>
      <x:c r="J663" s="8" t="n">
        <x:v>20</x:v>
      </x:c>
      <x:c r="K663" s="8" t="str">
        <x:v>unverified-denominator</x:v>
      </x:c>
      <x:c r="L663" s="8" t="d">
        <x:v>2026-09-16T05:12:38.111Z</x:v>
      </x:c>
      <x:c r="M663" s="8" t="str">
        <x:v>https://apm.activecommunities.com/portlandparks/Activity_Search/mdcc---blue-makos/207782?locale=en-US</x:v>
      </x:c>
    </x:row>
    <x:row r="664" ht="38" customHeight="1">
      <x:c r="A664" s="7" t="str">
        <x:v>207777</x:v>
      </x:c>
      <x:c r="B664" s="12" t="str">
        <x:v>MDCC - Dolphin</x:v>
      </x:c>
      <x:c r="C664" s="12" t="str">
        <x:v>Matt Dishman Indoor Pool</x:v>
      </x:c>
      <x:c r="D664" s="12" t="str">
        <x:v>Aquatics - Lessons</x:v>
      </x:c>
      <x:c r="E664" s="7" t="str">
        <x:v>future</x:v>
      </x:c>
      <x:c r="F664" s="7" t="str">
        <x:v>2026-10-03</x:v>
      </x:c>
      <x:c r="G664" s="7" t="str">
        <x:v>2026-12-12</x:v>
      </x:c>
      <x:c r="H664" s="7" t="n">
        <x:v>8</x:v>
      </x:c>
      <x:c r="I664" s="7" t="n">
        <x:v>8</x:v>
      </x:c>
      <x:c r="J664" s="7" t="n">
        <x:v>8</x:v>
      </x:c>
      <x:c r="K664" s="7" t="str">
        <x:v>unverified-denominator</x:v>
      </x:c>
      <x:c r="L664" s="7" t="d">
        <x:v>2026-09-16T05:12:38.111Z</x:v>
      </x:c>
      <x:c r="M664" s="7" t="str">
        <x:v>https://apm.activecommunities.com/portlandparks/Activity_Search/mdcc---dolphin/207777?locale=en-US</x:v>
      </x:c>
    </x:row>
    <x:row r="665" ht="38" customHeight="1">
      <x:c r="A665" s="8" t="str">
        <x:v>207778</x:v>
      </x:c>
      <x:c r="B665" s="11" t="str">
        <x:v>MDCC - Goldfish</x:v>
      </x:c>
      <x:c r="C665" s="11" t="str">
        <x:v>Matt Dishman Indoor Pool</x:v>
      </x:c>
      <x:c r="D665" s="11" t="str">
        <x:v>Aquatics - Lessons</x:v>
      </x:c>
      <x:c r="E665" s="8" t="str">
        <x:v>future</x:v>
      </x:c>
      <x:c r="F665" s="8" t="str">
        <x:v>2026-10-03</x:v>
      </x:c>
      <x:c r="G665" s="8" t="str">
        <x:v>2026-12-12</x:v>
      </x:c>
      <x:c r="H665" s="8" t="n">
        <x:v>5</x:v>
      </x:c>
      <x:c r="I665" s="8" t="n">
        <x:v>17</x:v>
      </x:c>
      <x:c r="J665" s="8" t="n">
        <x:v>5</x:v>
      </x:c>
      <x:c r="K665" s="8" t="str">
        <x:v>unverified-denominator</x:v>
      </x:c>
      <x:c r="L665" s="8" t="d">
        <x:v>2026-09-16T05:12:38.111Z</x:v>
      </x:c>
      <x:c r="M665" s="8" t="str">
        <x:v>https://apm.activecommunities.com/portlandparks/Activity_Search/mdcc---goldfish/207778?locale=en-US</x:v>
      </x:c>
    </x:row>
    <x:row r="666" ht="38" customHeight="1">
      <x:c r="A666" s="7" t="str">
        <x:v>207783</x:v>
      </x:c>
      <x:c r="B666" s="12" t="str">
        <x:v>MDCC - Goldfish</x:v>
      </x:c>
      <x:c r="C666" s="12" t="str">
        <x:v>Matt Dishman Indoor Pool</x:v>
      </x:c>
      <x:c r="D666" s="12" t="str">
        <x:v>Aquatics - Lessons</x:v>
      </x:c>
      <x:c r="E666" s="7" t="str">
        <x:v>future</x:v>
      </x:c>
      <x:c r="F666" s="7" t="str">
        <x:v>2026-10-03</x:v>
      </x:c>
      <x:c r="G666" s="7" t="str">
        <x:v>2026-12-12</x:v>
      </x:c>
      <x:c r="H666" s="7" t="n">
        <x:v>4</x:v>
      </x:c>
      <x:c r="I666" s="7" t="n">
        <x:v>15</x:v>
      </x:c>
      <x:c r="J666" s="7" t="n">
        <x:v>5</x:v>
      </x:c>
      <x:c r="K666" s="7" t="str">
        <x:v>unverified-denominator</x:v>
      </x:c>
      <x:c r="L666" s="7" t="d">
        <x:v>2026-09-16T05:12:38.111Z</x:v>
      </x:c>
      <x:c r="M666" s="7" t="str">
        <x:v>https://apm.activecommunities.com/portlandparks/Activity_Search/mdcc---goldfish/207783?locale=en-US</x:v>
      </x:c>
    </x:row>
    <x:row r="667" ht="38" customHeight="1">
      <x:c r="A667" s="8" t="str">
        <x:v>207738</x:v>
      </x:c>
      <x:c r="B667" s="11" t="str">
        <x:v>MDCC - Goldfish</x:v>
      </x:c>
      <x:c r="C667" s="11" t="str">
        <x:v>Matt Dishman Indoor Pool</x:v>
      </x:c>
      <x:c r="D667" s="11" t="str">
        <x:v>Aquatics - Lessons</x:v>
      </x:c>
      <x:c r="E667" s="8" t="str">
        <x:v>future</x:v>
      </x:c>
      <x:c r="F667" s="8" t="str">
        <x:v>2026-09-28</x:v>
      </x:c>
      <x:c r="G667" s="8" t="str">
        <x:v>2026-10-28</x:v>
      </x:c>
      <x:c r="H667" s="8" t="n">
        <x:v>3</x:v>
      </x:c>
      <x:c r="I667" s="8" t="n">
        <x:v>8</x:v>
      </x:c>
      <x:c r="J667" s="8" t="n">
        <x:v>5</x:v>
      </x:c>
      <x:c r="K667" s="8" t="str">
        <x:v>unverified-denominator</x:v>
      </x:c>
      <x:c r="L667" s="8" t="d">
        <x:v>2026-09-16T05:12:38.111Z</x:v>
      </x:c>
      <x:c r="M667" s="8" t="str">
        <x:v>https://apm.activecommunities.com/portlandparks/Activity_Search/mdcc---goldfish/207738?locale=en-US</x:v>
      </x:c>
    </x:row>
    <x:row r="668" ht="38" customHeight="1">
      <x:c r="A668" s="7" t="str">
        <x:v>207745</x:v>
      </x:c>
      <x:c r="B668" s="12" t="str">
        <x:v>MDCC - Goldfish</x:v>
      </x:c>
      <x:c r="C668" s="12" t="str">
        <x:v>Matt Dishman Indoor Pool</x:v>
      </x:c>
      <x:c r="D668" s="12" t="str">
        <x:v>Aquatics - Lessons</x:v>
      </x:c>
      <x:c r="E668" s="7" t="str">
        <x:v>future</x:v>
      </x:c>
      <x:c r="F668" s="7" t="str">
        <x:v>2026-09-28</x:v>
      </x:c>
      <x:c r="G668" s="7" t="str">
        <x:v>2026-10-28</x:v>
      </x:c>
      <x:c r="H668" s="7" t="n">
        <x:v>5</x:v>
      </x:c>
      <x:c r="I668" s="7" t="n">
        <x:v>2</x:v>
      </x:c>
      <x:c r="J668" s="7" t="n">
        <x:v>5</x:v>
      </x:c>
      <x:c r="K668" s="7" t="str">
        <x:v>unverified-denominator</x:v>
      </x:c>
      <x:c r="L668" s="7" t="d">
        <x:v>2026-09-16T05:12:38.111Z</x:v>
      </x:c>
      <x:c r="M668" s="7" t="str">
        <x:v>https://apm.activecommunities.com/portlandparks/Activity_Search/mdcc---goldfish/207745?locale=en-US</x:v>
      </x:c>
    </x:row>
    <x:row r="669" ht="38" customHeight="1">
      <x:c r="A669" s="8" t="str">
        <x:v>207752</x:v>
      </x:c>
      <x:c r="B669" s="11" t="str">
        <x:v>MDCC - Goldfish</x:v>
      </x:c>
      <x:c r="C669" s="11" t="str">
        <x:v>Matt Dishman Indoor Pool</x:v>
      </x:c>
      <x:c r="D669" s="11" t="str">
        <x:v>Aquatics - Lessons</x:v>
      </x:c>
      <x:c r="E669" s="8" t="str">
        <x:v>future</x:v>
      </x:c>
      <x:c r="F669" s="8" t="str">
        <x:v>2026-09-29</x:v>
      </x:c>
      <x:c r="G669" s="8" t="str">
        <x:v>2026-10-29</x:v>
      </x:c>
      <x:c r="H669" s="8" t="n">
        <x:v>3</x:v>
      </x:c>
      <x:c r="I669" s="8" t="n">
        <x:v>4</x:v>
      </x:c>
      <x:c r="J669" s="8" t="n">
        <x:v>5</x:v>
      </x:c>
      <x:c r="K669" s="8" t="str">
        <x:v>unverified-denominator</x:v>
      </x:c>
      <x:c r="L669" s="8" t="d">
        <x:v>2026-09-16T05:12:38.111Z</x:v>
      </x:c>
      <x:c r="M669" s="8" t="str">
        <x:v>https://apm.activecommunities.com/portlandparks/Activity_Search/mdcc---goldfish/207752?locale=en-US</x:v>
      </x:c>
    </x:row>
    <x:row r="670" ht="38" customHeight="1">
      <x:c r="A670" s="7" t="str">
        <x:v>207747</x:v>
      </x:c>
      <x:c r="B670" s="12" t="str">
        <x:v>MDCC - Goldfish</x:v>
      </x:c>
      <x:c r="C670" s="12" t="str">
        <x:v>Matt Dishman Indoor Pool</x:v>
      </x:c>
      <x:c r="D670" s="12" t="str">
        <x:v>Aquatics - Lessons</x:v>
      </x:c>
      <x:c r="E670" s="7" t="str">
        <x:v>future</x:v>
      </x:c>
      <x:c r="F670" s="7" t="str">
        <x:v>2026-09-28</x:v>
      </x:c>
      <x:c r="G670" s="7" t="str">
        <x:v>2026-10-28</x:v>
      </x:c>
      <x:c r="H670" s="7" t="n">
        <x:v>4</x:v>
      </x:c>
      <x:c r="I670" s="7" t="n">
        <x:v>2</x:v>
      </x:c>
      <x:c r="J670" s="7" t="n">
        <x:v>5</x:v>
      </x:c>
      <x:c r="K670" s="7" t="str">
        <x:v>unverified-denominator</x:v>
      </x:c>
      <x:c r="L670" s="7" t="d">
        <x:v>2026-09-16T05:12:38.111Z</x:v>
      </x:c>
      <x:c r="M670" s="7" t="str">
        <x:v>https://apm.activecommunities.com/portlandparks/Activity_Search/mdcc---goldfish/207747?locale=en-US</x:v>
      </x:c>
    </x:row>
    <x:row r="671" ht="38" customHeight="1">
      <x:c r="A671" s="8" t="str">
        <x:v>207756</x:v>
      </x:c>
      <x:c r="B671" s="11" t="str">
        <x:v>MDCC - Goldfish</x:v>
      </x:c>
      <x:c r="C671" s="11" t="str">
        <x:v>Matt Dishman Indoor Pool</x:v>
      </x:c>
      <x:c r="D671" s="11" t="str">
        <x:v>Aquatics - Lessons</x:v>
      </x:c>
      <x:c r="E671" s="8" t="str">
        <x:v>future</x:v>
      </x:c>
      <x:c r="F671" s="8" t="str">
        <x:v>2026-09-29</x:v>
      </x:c>
      <x:c r="G671" s="8" t="str">
        <x:v>2026-10-29</x:v>
      </x:c>
      <x:c r="H671" s="8" t="n">
        <x:v>5</x:v>
      </x:c>
      <x:c r="I671" s="8" t="n">
        <x:v>5</x:v>
      </x:c>
      <x:c r="J671" s="8" t="n">
        <x:v>5</x:v>
      </x:c>
      <x:c r="K671" s="8" t="str">
        <x:v>unverified-denominator</x:v>
      </x:c>
      <x:c r="L671" s="8" t="d">
        <x:v>2026-09-16T05:12:38.111Z</x:v>
      </x:c>
      <x:c r="M671" s="8" t="str">
        <x:v>https://apm.activecommunities.com/portlandparks/Activity_Search/mdcc---goldfish/207756?locale=en-US</x:v>
      </x:c>
    </x:row>
    <x:row r="672" ht="38" customHeight="1">
      <x:c r="A672" s="7" t="str">
        <x:v>207759</x:v>
      </x:c>
      <x:c r="B672" s="12" t="str">
        <x:v>MDCC - Goldfish</x:v>
      </x:c>
      <x:c r="C672" s="12" t="str">
        <x:v>Matt Dishman Indoor Pool</x:v>
      </x:c>
      <x:c r="D672" s="12" t="str">
        <x:v>Aquatics - Lessons</x:v>
      </x:c>
      <x:c r="E672" s="7" t="str">
        <x:v>future</x:v>
      </x:c>
      <x:c r="F672" s="7" t="str">
        <x:v>2026-09-29</x:v>
      </x:c>
      <x:c r="G672" s="7" t="str">
        <x:v>2026-10-29</x:v>
      </x:c>
      <x:c r="H672" s="7" t="n">
        <x:v>5</x:v>
      </x:c>
      <x:c r="I672" s="7" t="n">
        <x:v>3</x:v>
      </x:c>
      <x:c r="J672" s="7" t="n">
        <x:v>5</x:v>
      </x:c>
      <x:c r="K672" s="7" t="str">
        <x:v>unverified-denominator</x:v>
      </x:c>
      <x:c r="L672" s="7" t="d">
        <x:v>2026-09-16T05:12:38.111Z</x:v>
      </x:c>
      <x:c r="M672" s="7" t="str">
        <x:v>https://apm.activecommunities.com/portlandparks/Activity_Search/mdcc---goldfish/207759?locale=en-US</x:v>
      </x:c>
    </x:row>
    <x:row r="673" ht="38" customHeight="1">
      <x:c r="A673" s="8" t="str">
        <x:v>207728</x:v>
      </x:c>
      <x:c r="B673" s="11" t="str">
        <x:v>MDCC - Goldfish</x:v>
      </x:c>
      <x:c r="C673" s="11" t="str">
        <x:v>Matt Dishman Indoor Pool</x:v>
      </x:c>
      <x:c r="D673" s="11" t="str">
        <x:v>Aquatics - Lessons</x:v>
      </x:c>
      <x:c r="E673" s="8" t="str">
        <x:v>future</x:v>
      </x:c>
      <x:c r="F673" s="8" t="str">
        <x:v>2026-09-29</x:v>
      </x:c>
      <x:c r="G673" s="8" t="str">
        <x:v>2026-10-29</x:v>
      </x:c>
      <x:c r="H673" s="8" t="n">
        <x:v>1</x:v>
      </x:c>
      <x:c r="I673" s="8"/>
      <x:c r="J673" s="8" t="n">
        <x:v>5</x:v>
      </x:c>
      <x:c r="K673" s="8" t="str">
        <x:v>unverified-denominator</x:v>
      </x:c>
      <x:c r="L673" s="8" t="d">
        <x:v>2026-09-16T05:12:38.111Z</x:v>
      </x:c>
      <x:c r="M673" s="8" t="str">
        <x:v>https://apm.activecommunities.com/portlandparks/Activity_Search/mdcc---goldfish/207728?locale=en-US</x:v>
      </x:c>
    </x:row>
    <x:row r="674" ht="38" customHeight="1">
      <x:c r="A674" s="7" t="str">
        <x:v>207720</x:v>
      </x:c>
      <x:c r="B674" s="12" t="str">
        <x:v>MDCC - Goldfish</x:v>
      </x:c>
      <x:c r="C674" s="12" t="str">
        <x:v>Matt Dishman Indoor Pool</x:v>
      </x:c>
      <x:c r="D674" s="12" t="str">
        <x:v>Aquatics - Lessons</x:v>
      </x:c>
      <x:c r="E674" s="7" t="str">
        <x:v>future</x:v>
      </x:c>
      <x:c r="F674" s="7" t="str">
        <x:v>2026-09-29</x:v>
      </x:c>
      <x:c r="G674" s="7" t="str">
        <x:v>2026-10-29</x:v>
      </x:c>
      <x:c r="H674" s="7" t="n">
        <x:v>0</x:v>
      </x:c>
      <x:c r="I674" s="7"/>
      <x:c r="J674" s="7" t="n">
        <x:v>5</x:v>
      </x:c>
      <x:c r="K674" s="7" t="str">
        <x:v>unverified-denominator</x:v>
      </x:c>
      <x:c r="L674" s="7" t="d">
        <x:v>2026-09-16T05:12:38.111Z</x:v>
      </x:c>
      <x:c r="M674" s="7" t="str">
        <x:v>https://apm.activecommunities.com/portlandparks/Activity_Search/mdcc---goldfish/207720?locale=en-US</x:v>
      </x:c>
    </x:row>
    <x:row r="675" ht="38" customHeight="1">
      <x:c r="A675" s="8" t="str">
        <x:v>207722</x:v>
      </x:c>
      <x:c r="B675" s="11" t="str">
        <x:v>MDCC - Goldfish</x:v>
      </x:c>
      <x:c r="C675" s="11" t="str">
        <x:v>Matt Dishman Indoor Pool</x:v>
      </x:c>
      <x:c r="D675" s="11" t="str">
        <x:v>Aquatics - Lessons</x:v>
      </x:c>
      <x:c r="E675" s="8" t="str">
        <x:v>future</x:v>
      </x:c>
      <x:c r="F675" s="8" t="str">
        <x:v>2026-09-29</x:v>
      </x:c>
      <x:c r="G675" s="8" t="str">
        <x:v>2026-10-29</x:v>
      </x:c>
      <x:c r="H675" s="8" t="n">
        <x:v>0</x:v>
      </x:c>
      <x:c r="I675" s="8"/>
      <x:c r="J675" s="8" t="n">
        <x:v>5</x:v>
      </x:c>
      <x:c r="K675" s="8" t="str">
        <x:v>unverified-denominator</x:v>
      </x:c>
      <x:c r="L675" s="8" t="d">
        <x:v>2026-09-16T05:12:38.111Z</x:v>
      </x:c>
      <x:c r="M675" s="8" t="str">
        <x:v>https://apm.activecommunities.com/portlandparks/Activity_Search/mdcc---goldfish/207722?locale=en-US</x:v>
      </x:c>
    </x:row>
    <x:row r="676" ht="38" customHeight="1">
      <x:c r="A676" s="7" t="str">
        <x:v>207788</x:v>
      </x:c>
      <x:c r="B676" s="12" t="str">
        <x:v>MDCC - Goldfish</x:v>
      </x:c>
      <x:c r="C676" s="12" t="str">
        <x:v>Matt Dishman Indoor Pool</x:v>
      </x:c>
      <x:c r="D676" s="12" t="str">
        <x:v>Aquatics - Lessons</x:v>
      </x:c>
      <x:c r="E676" s="7" t="str">
        <x:v>future</x:v>
      </x:c>
      <x:c r="F676" s="7" t="str">
        <x:v>2026-10-03</x:v>
      </x:c>
      <x:c r="G676" s="7" t="str">
        <x:v>2026-12-12</x:v>
      </x:c>
      <x:c r="H676" s="7" t="n">
        <x:v>4</x:v>
      </x:c>
      <x:c r="I676" s="7" t="n">
        <x:v>7</x:v>
      </x:c>
      <x:c r="J676" s="7" t="n">
        <x:v>5</x:v>
      </x:c>
      <x:c r="K676" s="7" t="str">
        <x:v>unverified-denominator</x:v>
      </x:c>
      <x:c r="L676" s="7" t="d">
        <x:v>2026-09-16T05:12:38.111Z</x:v>
      </x:c>
      <x:c r="M676" s="7" t="str">
        <x:v>https://apm.activecommunities.com/portlandparks/Activity_Search/mdcc---goldfish/207788?locale=en-US</x:v>
      </x:c>
    </x:row>
    <x:row r="677" ht="38" customHeight="1">
      <x:c r="A677" s="8" t="str">
        <x:v>207764</x:v>
      </x:c>
      <x:c r="B677" s="11" t="str">
        <x:v>MDCC - Otter</x:v>
      </x:c>
      <x:c r="C677" s="11" t="str">
        <x:v>Matt Dishman Indoor Pool</x:v>
      </x:c>
      <x:c r="D677" s="11" t="str">
        <x:v>Aquatics - Lessons</x:v>
      </x:c>
      <x:c r="E677" s="8" t="str">
        <x:v>future</x:v>
      </x:c>
      <x:c r="F677" s="8" t="str">
        <x:v>2026-09-29</x:v>
      </x:c>
      <x:c r="G677" s="8" t="str">
        <x:v>2026-10-29</x:v>
      </x:c>
      <x:c r="H677" s="8" t="n">
        <x:v>6</x:v>
      </x:c>
      <x:c r="I677" s="8" t="n">
        <x:v>7</x:v>
      </x:c>
      <x:c r="J677" s="8" t="n">
        <x:v>6</x:v>
      </x:c>
      <x:c r="K677" s="8" t="str">
        <x:v>unverified-denominator</x:v>
      </x:c>
      <x:c r="L677" s="8" t="d">
        <x:v>2026-09-16T05:12:38.111Z</x:v>
      </x:c>
      <x:c r="M677" s="8" t="str">
        <x:v>https://apm.activecommunities.com/portlandparks/Activity_Search/mdcc---otter/207764?locale=en-US</x:v>
      </x:c>
    </x:row>
    <x:row r="678" ht="38" customHeight="1">
      <x:c r="A678" s="7" t="str">
        <x:v>207757</x:v>
      </x:c>
      <x:c r="B678" s="12" t="str">
        <x:v>MDCC - Otter</x:v>
      </x:c>
      <x:c r="C678" s="12" t="str">
        <x:v>Matt Dishman Indoor Pool</x:v>
      </x:c>
      <x:c r="D678" s="12" t="str">
        <x:v>Aquatics - Lessons</x:v>
      </x:c>
      <x:c r="E678" s="7" t="str">
        <x:v>future</x:v>
      </x:c>
      <x:c r="F678" s="7" t="str">
        <x:v>2026-09-29</x:v>
      </x:c>
      <x:c r="G678" s="7" t="str">
        <x:v>2026-10-29</x:v>
      </x:c>
      <x:c r="H678" s="7" t="n">
        <x:v>5</x:v>
      </x:c>
      <x:c r="I678" s="7" t="n">
        <x:v>7</x:v>
      </x:c>
      <x:c r="J678" s="7" t="n">
        <x:v>6</x:v>
      </x:c>
      <x:c r="K678" s="7" t="str">
        <x:v>unverified-denominator</x:v>
      </x:c>
      <x:c r="L678" s="7" t="d">
        <x:v>2026-09-16T05:12:38.111Z</x:v>
      </x:c>
      <x:c r="M678" s="7" t="str">
        <x:v>https://apm.activecommunities.com/portlandparks/Activity_Search/mdcc---otter/207757?locale=en-US</x:v>
      </x:c>
    </x:row>
    <x:row r="679" ht="38" customHeight="1">
      <x:c r="A679" s="8" t="str">
        <x:v>207748</x:v>
      </x:c>
      <x:c r="B679" s="11" t="str">
        <x:v>MDCC - Otter</x:v>
      </x:c>
      <x:c r="C679" s="11" t="str">
        <x:v>Matt Dishman Indoor Pool</x:v>
      </x:c>
      <x:c r="D679" s="11" t="str">
        <x:v>Aquatics - Lessons</x:v>
      </x:c>
      <x:c r="E679" s="8" t="str">
        <x:v>future</x:v>
      </x:c>
      <x:c r="F679" s="8" t="str">
        <x:v>2026-09-28</x:v>
      </x:c>
      <x:c r="G679" s="8" t="str">
        <x:v>2026-10-28</x:v>
      </x:c>
      <x:c r="H679" s="8" t="n">
        <x:v>6</x:v>
      </x:c>
      <x:c r="I679" s="8" t="n">
        <x:v>6</x:v>
      </x:c>
      <x:c r="J679" s="8" t="n">
        <x:v>6</x:v>
      </x:c>
      <x:c r="K679" s="8" t="str">
        <x:v>unverified-denominator</x:v>
      </x:c>
      <x:c r="L679" s="8" t="d">
        <x:v>2026-09-16T05:12:38.111Z</x:v>
      </x:c>
      <x:c r="M679" s="8" t="str">
        <x:v>https://apm.activecommunities.com/portlandparks/Activity_Search/mdcc---otter/207748?locale=en-US</x:v>
      </x:c>
    </x:row>
    <x:row r="680" ht="38" customHeight="1">
      <x:c r="A680" s="7" t="str">
        <x:v>207753</x:v>
      </x:c>
      <x:c r="B680" s="12" t="str">
        <x:v>MDCC - Otter</x:v>
      </x:c>
      <x:c r="C680" s="12" t="str">
        <x:v>Matt Dishman Indoor Pool</x:v>
      </x:c>
      <x:c r="D680" s="12" t="str">
        <x:v>Aquatics - Lessons</x:v>
      </x:c>
      <x:c r="E680" s="7" t="str">
        <x:v>future</x:v>
      </x:c>
      <x:c r="F680" s="7" t="str">
        <x:v>2026-09-29</x:v>
      </x:c>
      <x:c r="G680" s="7" t="str">
        <x:v>2026-10-29</x:v>
      </x:c>
      <x:c r="H680" s="7" t="n">
        <x:v>6</x:v>
      </x:c>
      <x:c r="I680" s="7" t="n">
        <x:v>6</x:v>
      </x:c>
      <x:c r="J680" s="7" t="n">
        <x:v>6</x:v>
      </x:c>
      <x:c r="K680" s="7" t="str">
        <x:v>unverified-denominator</x:v>
      </x:c>
      <x:c r="L680" s="7" t="d">
        <x:v>2026-09-16T05:12:38.111Z</x:v>
      </x:c>
      <x:c r="M680" s="7" t="str">
        <x:v>https://apm.activecommunities.com/portlandparks/Activity_Search/mdcc---otter/207753?locale=en-US</x:v>
      </x:c>
    </x:row>
    <x:row r="681" ht="38" customHeight="1">
      <x:c r="A681" s="8" t="str">
        <x:v>207741</x:v>
      </x:c>
      <x:c r="B681" s="11" t="str">
        <x:v>MDCC - Otter</x:v>
      </x:c>
      <x:c r="C681" s="11" t="str">
        <x:v>Matt Dishman Indoor Pool</x:v>
      </x:c>
      <x:c r="D681" s="11" t="str">
        <x:v>Aquatics - Lessons</x:v>
      </x:c>
      <x:c r="E681" s="8" t="str">
        <x:v>future</x:v>
      </x:c>
      <x:c r="F681" s="8" t="str">
        <x:v>2026-09-28</x:v>
      </x:c>
      <x:c r="G681" s="8" t="str">
        <x:v>2026-10-28</x:v>
      </x:c>
      <x:c r="H681" s="8" t="n">
        <x:v>6</x:v>
      </x:c>
      <x:c r="I681" s="8" t="n">
        <x:v>7</x:v>
      </x:c>
      <x:c r="J681" s="8" t="n">
        <x:v>6</x:v>
      </x:c>
      <x:c r="K681" s="8" t="str">
        <x:v>unverified-denominator</x:v>
      </x:c>
      <x:c r="L681" s="8" t="d">
        <x:v>2026-09-16T05:12:38.111Z</x:v>
      </x:c>
      <x:c r="M681" s="8" t="str">
        <x:v>https://apm.activecommunities.com/portlandparks/Activity_Search/mdcc---otter/207741?locale=en-US</x:v>
      </x:c>
    </x:row>
    <x:row r="682" ht="38" customHeight="1">
      <x:c r="A682" s="7" t="str">
        <x:v>207779</x:v>
      </x:c>
      <x:c r="B682" s="12" t="str">
        <x:v>MDCC - Otter</x:v>
      </x:c>
      <x:c r="C682" s="12" t="str">
        <x:v>Matt Dishman Indoor Pool</x:v>
      </x:c>
      <x:c r="D682" s="12" t="str">
        <x:v>Aquatics - Lessons</x:v>
      </x:c>
      <x:c r="E682" s="7" t="str">
        <x:v>future</x:v>
      </x:c>
      <x:c r="F682" s="7" t="str">
        <x:v>2026-10-03</x:v>
      </x:c>
      <x:c r="G682" s="7" t="str">
        <x:v>2026-12-12</x:v>
      </x:c>
      <x:c r="H682" s="7" t="n">
        <x:v>5</x:v>
      </x:c>
      <x:c r="I682" s="7" t="n">
        <x:v>4</x:v>
      </x:c>
      <x:c r="J682" s="7" t="n">
        <x:v>6</x:v>
      </x:c>
      <x:c r="K682" s="7" t="str">
        <x:v>unverified-denominator</x:v>
      </x:c>
      <x:c r="L682" s="7" t="d">
        <x:v>2026-09-16T05:12:38.111Z</x:v>
      </x:c>
      <x:c r="M682" s="7" t="str">
        <x:v>https://apm.activecommunities.com/portlandparks/Activity_Search/mdcc---otter/207779?locale=en-US</x:v>
      </x:c>
    </x:row>
    <x:row r="683" ht="38" customHeight="1">
      <x:c r="A683" s="8" t="str">
        <x:v>207772</x:v>
      </x:c>
      <x:c r="B683" s="11" t="str">
        <x:v>MDCC - Otter</x:v>
      </x:c>
      <x:c r="C683" s="11" t="str">
        <x:v>Matt Dishman Indoor Pool</x:v>
      </x:c>
      <x:c r="D683" s="11" t="str">
        <x:v>Aquatics - Lessons</x:v>
      </x:c>
      <x:c r="E683" s="8" t="str">
        <x:v>future</x:v>
      </x:c>
      <x:c r="F683" s="8" t="str">
        <x:v>2026-10-03</x:v>
      </x:c>
      <x:c r="G683" s="8" t="str">
        <x:v>2026-12-12</x:v>
      </x:c>
      <x:c r="H683" s="8" t="n">
        <x:v>6</x:v>
      </x:c>
      <x:c r="I683" s="8" t="n">
        <x:v>6</x:v>
      </x:c>
      <x:c r="J683" s="8" t="n">
        <x:v>6</x:v>
      </x:c>
      <x:c r="K683" s="8" t="str">
        <x:v>unverified-denominator</x:v>
      </x:c>
      <x:c r="L683" s="8" t="d">
        <x:v>2026-09-16T05:12:38.111Z</x:v>
      </x:c>
      <x:c r="M683" s="8" t="str">
        <x:v>https://apm.activecommunities.com/portlandparks/Activity_Search/mdcc---otter/207772?locale=en-US</x:v>
      </x:c>
    </x:row>
    <x:row r="684" ht="38" customHeight="1">
      <x:c r="A684" s="7" t="str">
        <x:v>207774</x:v>
      </x:c>
      <x:c r="B684" s="12" t="str">
        <x:v>MDCC - Penguin</x:v>
      </x:c>
      <x:c r="C684" s="12" t="str">
        <x:v>Matt Dishman Indoor Pool</x:v>
      </x:c>
      <x:c r="D684" s="12" t="str">
        <x:v>Aquatics - Lessons</x:v>
      </x:c>
      <x:c r="E684" s="7" t="str">
        <x:v>future</x:v>
      </x:c>
      <x:c r="F684" s="7" t="str">
        <x:v>2026-10-03</x:v>
      </x:c>
      <x:c r="G684" s="7" t="str">
        <x:v>2026-12-12</x:v>
      </x:c>
      <x:c r="H684" s="7" t="n">
        <x:v>3</x:v>
      </x:c>
      <x:c r="I684" s="7" t="n">
        <x:v>6</x:v>
      </x:c>
      <x:c r="J684" s="7" t="n">
        <x:v>5</x:v>
      </x:c>
      <x:c r="K684" s="7" t="str">
        <x:v>unverified-denominator</x:v>
      </x:c>
      <x:c r="L684" s="7" t="d">
        <x:v>2026-09-16T05:12:38.111Z</x:v>
      </x:c>
      <x:c r="M684" s="7" t="str">
        <x:v>https://apm.activecommunities.com/portlandparks/Activity_Search/mdcc---penguin/207774?locale=en-US</x:v>
      </x:c>
    </x:row>
    <x:row r="685" ht="38" customHeight="1">
      <x:c r="A685" s="8" t="str">
        <x:v>207769</x:v>
      </x:c>
      <x:c r="B685" s="11" t="str">
        <x:v>MDCC - Penguin</x:v>
      </x:c>
      <x:c r="C685" s="11" t="str">
        <x:v>Matt Dishman Indoor Pool</x:v>
      </x:c>
      <x:c r="D685" s="11" t="str">
        <x:v>Aquatics - Lessons</x:v>
      </x:c>
      <x:c r="E685" s="8" t="str">
        <x:v>future</x:v>
      </x:c>
      <x:c r="F685" s="8" t="str">
        <x:v>2026-10-03</x:v>
      </x:c>
      <x:c r="G685" s="8" t="str">
        <x:v>2026-12-12</x:v>
      </x:c>
      <x:c r="H685" s="8" t="n">
        <x:v>5</x:v>
      </x:c>
      <x:c r="I685" s="8" t="n">
        <x:v>4</x:v>
      </x:c>
      <x:c r="J685" s="8" t="n">
        <x:v>5</x:v>
      </x:c>
      <x:c r="K685" s="8" t="str">
        <x:v>unverified-denominator</x:v>
      </x:c>
      <x:c r="L685" s="8" t="d">
        <x:v>2026-09-16T05:12:38.111Z</x:v>
      </x:c>
      <x:c r="M685" s="8" t="str">
        <x:v>https://apm.activecommunities.com/portlandparks/Activity_Search/mdcc---penguin/207769?locale=en-US</x:v>
      </x:c>
    </x:row>
    <x:row r="686" ht="38" customHeight="1">
      <x:c r="A686" s="7" t="str">
        <x:v>207749</x:v>
      </x:c>
      <x:c r="B686" s="12" t="str">
        <x:v>MDCC - Penguin</x:v>
      </x:c>
      <x:c r="C686" s="12" t="str">
        <x:v>Matt Dishman Indoor Pool</x:v>
      </x:c>
      <x:c r="D686" s="12" t="str">
        <x:v>Aquatics - Lessons</x:v>
      </x:c>
      <x:c r="E686" s="7" t="str">
        <x:v>future</x:v>
      </x:c>
      <x:c r="F686" s="7" t="str">
        <x:v>2026-09-28</x:v>
      </x:c>
      <x:c r="G686" s="7" t="str">
        <x:v>2026-10-28</x:v>
      </x:c>
      <x:c r="H686" s="7" t="n">
        <x:v>5</x:v>
      </x:c>
      <x:c r="I686" s="7" t="n">
        <x:v>7</x:v>
      </x:c>
      <x:c r="J686" s="7" t="n">
        <x:v>5</x:v>
      </x:c>
      <x:c r="K686" s="7" t="str">
        <x:v>unverified-denominator</x:v>
      </x:c>
      <x:c r="L686" s="7" t="d">
        <x:v>2026-09-16T05:12:38.111Z</x:v>
      </x:c>
      <x:c r="M686" s="7" t="str">
        <x:v>https://apm.activecommunities.com/portlandparks/Activity_Search/mdcc---penguin/207749?locale=en-US</x:v>
      </x:c>
    </x:row>
    <x:row r="687" ht="38" customHeight="1">
      <x:c r="A687" s="8" t="str">
        <x:v>207765</x:v>
      </x:c>
      <x:c r="B687" s="11" t="str">
        <x:v>MDCC - Penguin</x:v>
      </x:c>
      <x:c r="C687" s="11" t="str">
        <x:v>Matt Dishman Indoor Pool</x:v>
      </x:c>
      <x:c r="D687" s="11" t="str">
        <x:v>Aquatics - Lessons</x:v>
      </x:c>
      <x:c r="E687" s="8" t="str">
        <x:v>future</x:v>
      </x:c>
      <x:c r="F687" s="8" t="str">
        <x:v>2026-09-29</x:v>
      </x:c>
      <x:c r="G687" s="8" t="str">
        <x:v>2026-10-29</x:v>
      </x:c>
      <x:c r="H687" s="8" t="n">
        <x:v>4</x:v>
      </x:c>
      <x:c r="I687" s="8" t="n">
        <x:v>7</x:v>
      </x:c>
      <x:c r="J687" s="8" t="n">
        <x:v>5</x:v>
      </x:c>
      <x:c r="K687" s="8" t="str">
        <x:v>unverified-denominator</x:v>
      </x:c>
      <x:c r="L687" s="8" t="d">
        <x:v>2026-09-16T05:12:38.111Z</x:v>
      </x:c>
      <x:c r="M687" s="8" t="str">
        <x:v>https://apm.activecommunities.com/portlandparks/Activity_Search/mdcc---penguin/207765?locale=en-US</x:v>
      </x:c>
    </x:row>
    <x:row r="688" ht="38" customHeight="1">
      <x:c r="A688" s="7" t="str">
        <x:v>207754</x:v>
      </x:c>
      <x:c r="B688" s="12" t="str">
        <x:v>MDCC - Polar Bear</x:v>
      </x:c>
      <x:c r="C688" s="12" t="str">
        <x:v>Matt Dishman Indoor Pool</x:v>
      </x:c>
      <x:c r="D688" s="12" t="str">
        <x:v>Aquatics - Lessons</x:v>
      </x:c>
      <x:c r="E688" s="7" t="str">
        <x:v>future</x:v>
      </x:c>
      <x:c r="F688" s="7" t="str">
        <x:v>2026-09-29</x:v>
      </x:c>
      <x:c r="G688" s="7" t="str">
        <x:v>2026-10-29</x:v>
      </x:c>
      <x:c r="H688" s="7" t="n">
        <x:v>6</x:v>
      </x:c>
      <x:c r="I688" s="7" t="n">
        <x:v>11</x:v>
      </x:c>
      <x:c r="J688" s="7" t="n">
        <x:v>6</x:v>
      </x:c>
      <x:c r="K688" s="7" t="str">
        <x:v>unverified-denominator</x:v>
      </x:c>
      <x:c r="L688" s="7" t="d">
        <x:v>2026-09-16T05:12:38.111Z</x:v>
      </x:c>
      <x:c r="M688" s="7" t="str">
        <x:v>https://apm.activecommunities.com/portlandparks/Activity_Search/mdcc---polar-bear/207754?locale=en-US</x:v>
      </x:c>
    </x:row>
    <x:row r="689" ht="38" customHeight="1">
      <x:c r="A689" s="8" t="str">
        <x:v>207767</x:v>
      </x:c>
      <x:c r="B689" s="11" t="str">
        <x:v>MDCC - Polar Bear</x:v>
      </x:c>
      <x:c r="C689" s="11" t="str">
        <x:v>Matt Dishman Indoor Pool</x:v>
      </x:c>
      <x:c r="D689" s="11" t="str">
        <x:v>Aquatics - Lessons</x:v>
      </x:c>
      <x:c r="E689" s="8" t="str">
        <x:v>future</x:v>
      </x:c>
      <x:c r="F689" s="8" t="str">
        <x:v>2026-10-03</x:v>
      </x:c>
      <x:c r="G689" s="8" t="str">
        <x:v>2026-12-12</x:v>
      </x:c>
      <x:c r="H689" s="8" t="n">
        <x:v>6</x:v>
      </x:c>
      <x:c r="I689" s="8" t="n">
        <x:v>24</x:v>
      </x:c>
      <x:c r="J689" s="8" t="n">
        <x:v>6</x:v>
      </x:c>
      <x:c r="K689" s="8" t="str">
        <x:v>unverified-denominator</x:v>
      </x:c>
      <x:c r="L689" s="8" t="d">
        <x:v>2026-09-16T05:12:38.111Z</x:v>
      </x:c>
      <x:c r="M689" s="8" t="str">
        <x:v>https://apm.activecommunities.com/portlandparks/Activity_Search/mdcc---polar-bear/207767?locale=en-US</x:v>
      </x:c>
    </x:row>
    <x:row r="690" ht="38" customHeight="1">
      <x:c r="A690" s="7" t="str">
        <x:v>207770</x:v>
      </x:c>
      <x:c r="B690" s="12" t="str">
        <x:v>MDCC - Pre - Otter</x:v>
      </x:c>
      <x:c r="C690" s="12" t="str">
        <x:v>Matt Dishman Indoor Pool</x:v>
      </x:c>
      <x:c r="D690" s="12" t="str">
        <x:v>Aquatics - Lessons</x:v>
      </x:c>
      <x:c r="E690" s="7" t="str">
        <x:v>future</x:v>
      </x:c>
      <x:c r="F690" s="7" t="str">
        <x:v>2026-10-03</x:v>
      </x:c>
      <x:c r="G690" s="7" t="str">
        <x:v>2026-12-12</x:v>
      </x:c>
      <x:c r="H690" s="7" t="n">
        <x:v>5</x:v>
      </x:c>
      <x:c r="I690" s="7" t="n">
        <x:v>6</x:v>
      </x:c>
      <x:c r="J690" s="7" t="n">
        <x:v>5</x:v>
      </x:c>
      <x:c r="K690" s="7" t="str">
        <x:v>unverified-denominator</x:v>
      </x:c>
      <x:c r="L690" s="7" t="d">
        <x:v>2026-09-16T05:12:38.111Z</x:v>
      </x:c>
      <x:c r="M690" s="7" t="str">
        <x:v>https://apm.activecommunities.com/portlandparks/Activity_Search/mdcc---pre---otter/207770?locale=en-US</x:v>
      </x:c>
    </x:row>
    <x:row r="691" ht="38" customHeight="1">
      <x:c r="A691" s="8" t="str">
        <x:v>207784</x:v>
      </x:c>
      <x:c r="B691" s="11" t="str">
        <x:v>MDCC - Pre - Otter</x:v>
      </x:c>
      <x:c r="C691" s="11" t="str">
        <x:v>Matt Dishman Indoor Pool</x:v>
      </x:c>
      <x:c r="D691" s="11" t="str">
        <x:v>Aquatics - Lessons</x:v>
      </x:c>
      <x:c r="E691" s="8" t="str">
        <x:v>future</x:v>
      </x:c>
      <x:c r="F691" s="8" t="str">
        <x:v>2026-10-03</x:v>
      </x:c>
      <x:c r="G691" s="8" t="str">
        <x:v>2026-12-12</x:v>
      </x:c>
      <x:c r="H691" s="8" t="n">
        <x:v>5</x:v>
      </x:c>
      <x:c r="I691" s="8" t="n">
        <x:v>5</x:v>
      </x:c>
      <x:c r="J691" s="8" t="n">
        <x:v>5</x:v>
      </x:c>
      <x:c r="K691" s="8" t="str">
        <x:v>unverified-denominator</x:v>
      </x:c>
      <x:c r="L691" s="8" t="d">
        <x:v>2026-09-16T05:12:38.111Z</x:v>
      </x:c>
      <x:c r="M691" s="8" t="str">
        <x:v>https://apm.activecommunities.com/portlandparks/Activity_Search/mdcc---pre---otter/207784?locale=en-US</x:v>
      </x:c>
    </x:row>
    <x:row r="692" ht="38" customHeight="1">
      <x:c r="A692" s="7" t="str">
        <x:v>207760</x:v>
      </x:c>
      <x:c r="B692" s="12" t="str">
        <x:v>MDCC - Pre - Otter</x:v>
      </x:c>
      <x:c r="C692" s="12" t="str">
        <x:v>Matt Dishman Indoor Pool</x:v>
      </x:c>
      <x:c r="D692" s="12" t="str">
        <x:v>Aquatics - Lessons</x:v>
      </x:c>
      <x:c r="E692" s="7" t="str">
        <x:v>future</x:v>
      </x:c>
      <x:c r="F692" s="7" t="str">
        <x:v>2026-09-29</x:v>
      </x:c>
      <x:c r="G692" s="7" t="str">
        <x:v>2026-10-29</x:v>
      </x:c>
      <x:c r="H692" s="7" t="n">
        <x:v>4</x:v>
      </x:c>
      <x:c r="I692" s="7" t="n">
        <x:v>4</x:v>
      </x:c>
      <x:c r="J692" s="7" t="n">
        <x:v>5</x:v>
      </x:c>
      <x:c r="K692" s="7" t="str">
        <x:v>unverified-denominator</x:v>
      </x:c>
      <x:c r="L692" s="7" t="d">
        <x:v>2026-09-16T05:12:38.111Z</x:v>
      </x:c>
      <x:c r="M692" s="7" t="str">
        <x:v>https://apm.activecommunities.com/portlandparks/Activity_Search/mdcc---pre---otter/207760?locale=en-US</x:v>
      </x:c>
    </x:row>
    <x:row r="693" ht="38" customHeight="1">
      <x:c r="A693" s="8" t="str">
        <x:v>207742</x:v>
      </x:c>
      <x:c r="B693" s="11" t="str">
        <x:v>MDCC - Pre - Otter</x:v>
      </x:c>
      <x:c r="C693" s="11" t="str">
        <x:v>Matt Dishman Indoor Pool</x:v>
      </x:c>
      <x:c r="D693" s="11" t="str">
        <x:v>Aquatics - Lessons</x:v>
      </x:c>
      <x:c r="E693" s="8" t="str">
        <x:v>future</x:v>
      </x:c>
      <x:c r="F693" s="8" t="str">
        <x:v>2026-09-28</x:v>
      </x:c>
      <x:c r="G693" s="8" t="str">
        <x:v>2026-10-28</x:v>
      </x:c>
      <x:c r="H693" s="8" t="n">
        <x:v>5</x:v>
      </x:c>
      <x:c r="I693" s="8" t="n">
        <x:v>17</x:v>
      </x:c>
      <x:c r="J693" s="8" t="n">
        <x:v>5</x:v>
      </x:c>
      <x:c r="K693" s="8" t="str">
        <x:v>unverified-denominator</x:v>
      </x:c>
      <x:c r="L693" s="8" t="d">
        <x:v>2026-09-16T05:12:38.111Z</x:v>
      </x:c>
      <x:c r="M693" s="8" t="str">
        <x:v>https://apm.activecommunities.com/portlandparks/Activity_Search/mdcc---pre---otter/207742?locale=en-US</x:v>
      </x:c>
    </x:row>
    <x:row r="694" ht="38" customHeight="1">
      <x:c r="A694" s="7" t="str">
        <x:v>207723</x:v>
      </x:c>
      <x:c r="B694" s="12" t="str">
        <x:v>MDCC - Pre - Otter</x:v>
      </x:c>
      <x:c r="C694" s="12" t="str">
        <x:v>Matt Dishman Indoor Pool</x:v>
      </x:c>
      <x:c r="D694" s="12" t="str">
        <x:v>Aquatics - Lessons</x:v>
      </x:c>
      <x:c r="E694" s="7" t="str">
        <x:v>future</x:v>
      </x:c>
      <x:c r="F694" s="7" t="str">
        <x:v>2026-09-29</x:v>
      </x:c>
      <x:c r="G694" s="7" t="str">
        <x:v>2026-10-29</x:v>
      </x:c>
      <x:c r="H694" s="7" t="n">
        <x:v>2</x:v>
      </x:c>
      <x:c r="I694" s="7"/>
      <x:c r="J694" s="7" t="n">
        <x:v>5</x:v>
      </x:c>
      <x:c r="K694" s="7" t="str">
        <x:v>unverified-denominator</x:v>
      </x:c>
      <x:c r="L694" s="7" t="d">
        <x:v>2026-09-16T05:12:38.111Z</x:v>
      </x:c>
      <x:c r="M694" s="7" t="str">
        <x:v>https://apm.activecommunities.com/portlandparks/Activity_Search/mdcc---pre---otter/207723?locale=en-US</x:v>
      </x:c>
    </x:row>
    <x:row r="695" ht="38" customHeight="1">
      <x:c r="A695" s="8" t="str">
        <x:v>207721</x:v>
      </x:c>
      <x:c r="B695" s="11" t="str">
        <x:v>MDCC - Pre - Penguin</x:v>
      </x:c>
      <x:c r="C695" s="11" t="str">
        <x:v>Matt Dishman Indoor Pool</x:v>
      </x:c>
      <x:c r="D695" s="11" t="str">
        <x:v>Aquatics - Lessons</x:v>
      </x:c>
      <x:c r="E695" s="8" t="str">
        <x:v>future</x:v>
      </x:c>
      <x:c r="F695" s="8" t="str">
        <x:v>2026-09-29</x:v>
      </x:c>
      <x:c r="G695" s="8" t="str">
        <x:v>2026-10-29</x:v>
      </x:c>
      <x:c r="H695" s="8" t="n">
        <x:v>1</x:v>
      </x:c>
      <x:c r="I695" s="8"/>
      <x:c r="J695" s="8" t="n">
        <x:v>5</x:v>
      </x:c>
      <x:c r="K695" s="8" t="str">
        <x:v>unverified-denominator</x:v>
      </x:c>
      <x:c r="L695" s="8" t="d">
        <x:v>2026-09-16T05:12:38.111Z</x:v>
      </x:c>
      <x:c r="M695" s="8" t="str">
        <x:v>https://apm.activecommunities.com/portlandparks/Activity_Search/mdcc---pre---penguin/207721?locale=en-US</x:v>
      </x:c>
    </x:row>
    <x:row r="696" ht="38" customHeight="1">
      <x:c r="A696" s="7" t="str">
        <x:v>207725</x:v>
      </x:c>
      <x:c r="B696" s="12" t="str">
        <x:v>MDCC - Pre - Penguin</x:v>
      </x:c>
      <x:c r="C696" s="12" t="str">
        <x:v>Matt Dishman Indoor Pool</x:v>
      </x:c>
      <x:c r="D696" s="12" t="str">
        <x:v>Aquatics - Lessons</x:v>
      </x:c>
      <x:c r="E696" s="7" t="str">
        <x:v>future</x:v>
      </x:c>
      <x:c r="F696" s="7" t="str">
        <x:v>2026-09-29</x:v>
      </x:c>
      <x:c r="G696" s="7" t="str">
        <x:v>2026-10-29</x:v>
      </x:c>
      <x:c r="H696" s="7" t="n">
        <x:v>0</x:v>
      </x:c>
      <x:c r="I696" s="7"/>
      <x:c r="J696" s="7" t="n">
        <x:v>5</x:v>
      </x:c>
      <x:c r="K696" s="7" t="str">
        <x:v>unverified-denominator</x:v>
      </x:c>
      <x:c r="L696" s="7" t="d">
        <x:v>2026-09-16T05:12:38.111Z</x:v>
      </x:c>
      <x:c r="M696" s="7" t="str">
        <x:v>https://apm.activecommunities.com/portlandparks/Activity_Search/mdcc---pre---penguin/207725?locale=en-US</x:v>
      </x:c>
    </x:row>
    <x:row r="697" ht="38" customHeight="1">
      <x:c r="A697" s="8" t="str">
        <x:v>207743</x:v>
      </x:c>
      <x:c r="B697" s="11" t="str">
        <x:v>MDCC - Pre - Penguin</x:v>
      </x:c>
      <x:c r="C697" s="11" t="str">
        <x:v>Matt Dishman Indoor Pool</x:v>
      </x:c>
      <x:c r="D697" s="11" t="str">
        <x:v>Aquatics - Lessons</x:v>
      </x:c>
      <x:c r="E697" s="8" t="str">
        <x:v>future</x:v>
      </x:c>
      <x:c r="F697" s="8" t="str">
        <x:v>2026-09-28</x:v>
      </x:c>
      <x:c r="G697" s="8" t="str">
        <x:v>2026-10-28</x:v>
      </x:c>
      <x:c r="H697" s="8" t="n">
        <x:v>5</x:v>
      </x:c>
      <x:c r="I697" s="8" t="n">
        <x:v>7</x:v>
      </x:c>
      <x:c r="J697" s="8" t="n">
        <x:v>5</x:v>
      </x:c>
      <x:c r="K697" s="8" t="str">
        <x:v>unverified-denominator</x:v>
      </x:c>
      <x:c r="L697" s="8" t="d">
        <x:v>2026-09-16T05:12:38.111Z</x:v>
      </x:c>
      <x:c r="M697" s="8" t="str">
        <x:v>https://apm.activecommunities.com/portlandparks/Activity_Search/mdcc---pre---penguin/207743?locale=en-US</x:v>
      </x:c>
    </x:row>
    <x:row r="698" ht="38" customHeight="1">
      <x:c r="A698" s="7" t="str">
        <x:v>207739</x:v>
      </x:c>
      <x:c r="B698" s="12" t="str">
        <x:v>MDCC - Pre - Penguin</x:v>
      </x:c>
      <x:c r="C698" s="12" t="str">
        <x:v>Matt Dishman Indoor Pool</x:v>
      </x:c>
      <x:c r="D698" s="12" t="str">
        <x:v>Aquatics - Lessons</x:v>
      </x:c>
      <x:c r="E698" s="7" t="str">
        <x:v>future</x:v>
      </x:c>
      <x:c r="F698" s="7" t="str">
        <x:v>2026-09-28</x:v>
      </x:c>
      <x:c r="G698" s="7" t="str">
        <x:v>2026-10-28</x:v>
      </x:c>
      <x:c r="H698" s="7" t="n">
        <x:v>5</x:v>
      </x:c>
      <x:c r="I698" s="7" t="n">
        <x:v>11</x:v>
      </x:c>
      <x:c r="J698" s="7" t="n">
        <x:v>5</x:v>
      </x:c>
      <x:c r="K698" s="7" t="str">
        <x:v>unverified-denominator</x:v>
      </x:c>
      <x:c r="L698" s="7" t="d">
        <x:v>2026-09-16T05:12:38.111Z</x:v>
      </x:c>
      <x:c r="M698" s="7" t="str">
        <x:v>https://apm.activecommunities.com/portlandparks/Activity_Search/mdcc---pre---penguin/207739?locale=en-US</x:v>
      </x:c>
    </x:row>
    <x:row r="699" ht="38" customHeight="1">
      <x:c r="A699" s="8" t="str">
        <x:v>207766</x:v>
      </x:c>
      <x:c r="B699" s="11" t="str">
        <x:v>MDCC - Pre - Penguin</x:v>
      </x:c>
      <x:c r="C699" s="11" t="str">
        <x:v>Matt Dishman Indoor Pool</x:v>
      </x:c>
      <x:c r="D699" s="11" t="str">
        <x:v>Aquatics - Lessons</x:v>
      </x:c>
      <x:c r="E699" s="8" t="str">
        <x:v>future</x:v>
      </x:c>
      <x:c r="F699" s="8" t="str">
        <x:v>2026-09-29</x:v>
      </x:c>
      <x:c r="G699" s="8" t="str">
        <x:v>2026-10-29</x:v>
      </x:c>
      <x:c r="H699" s="8" t="n">
        <x:v>5</x:v>
      </x:c>
      <x:c r="I699" s="8" t="n">
        <x:v>2</x:v>
      </x:c>
      <x:c r="J699" s="8" t="n">
        <x:v>5</x:v>
      </x:c>
      <x:c r="K699" s="8" t="str">
        <x:v>unverified-denominator</x:v>
      </x:c>
      <x:c r="L699" s="8" t="d">
        <x:v>2026-09-16T05:12:38.111Z</x:v>
      </x:c>
      <x:c r="M699" s="8" t="str">
        <x:v>https://apm.activecommunities.com/portlandparks/Activity_Search/mdcc---pre---penguin/207766?locale=en-US</x:v>
      </x:c>
    </x:row>
    <x:row r="700" ht="38" customHeight="1">
      <x:c r="A700" s="7" t="str">
        <x:v>207758</x:v>
      </x:c>
      <x:c r="B700" s="12" t="str">
        <x:v>MDCC - Pre - Penguin</x:v>
      </x:c>
      <x:c r="C700" s="12" t="str">
        <x:v>Matt Dishman Indoor Pool</x:v>
      </x:c>
      <x:c r="D700" s="12" t="str">
        <x:v>Aquatics - Lessons</x:v>
      </x:c>
      <x:c r="E700" s="7" t="str">
        <x:v>future</x:v>
      </x:c>
      <x:c r="F700" s="7" t="str">
        <x:v>2026-09-29</x:v>
      </x:c>
      <x:c r="G700" s="7" t="str">
        <x:v>2026-10-29</x:v>
      </x:c>
      <x:c r="H700" s="7" t="n">
        <x:v>4</x:v>
      </x:c>
      <x:c r="I700" s="7" t="n">
        <x:v>5</x:v>
      </x:c>
      <x:c r="J700" s="7" t="n">
        <x:v>5</x:v>
      </x:c>
      <x:c r="K700" s="7" t="str">
        <x:v>unverified-denominator</x:v>
      </x:c>
      <x:c r="L700" s="7" t="d">
        <x:v>2026-09-16T05:12:38.111Z</x:v>
      </x:c>
      <x:c r="M700" s="7" t="str">
        <x:v>https://apm.activecommunities.com/portlandparks/Activity_Search/mdcc---pre---penguin/207758?locale=en-US</x:v>
      </x:c>
    </x:row>
    <x:row r="701" ht="38" customHeight="1">
      <x:c r="A701" s="8" t="str">
        <x:v>207785</x:v>
      </x:c>
      <x:c r="B701" s="11" t="str">
        <x:v>MDCC - Pre - Penguin</x:v>
      </x:c>
      <x:c r="C701" s="11" t="str">
        <x:v>Matt Dishman Indoor Pool</x:v>
      </x:c>
      <x:c r="D701" s="11" t="str">
        <x:v>Aquatics - Lessons</x:v>
      </x:c>
      <x:c r="E701" s="8" t="str">
        <x:v>future</x:v>
      </x:c>
      <x:c r="F701" s="8" t="str">
        <x:v>2026-10-03</x:v>
      </x:c>
      <x:c r="G701" s="8" t="str">
        <x:v>2026-12-12</x:v>
      </x:c>
      <x:c r="H701" s="8" t="n">
        <x:v>5</x:v>
      </x:c>
      <x:c r="I701" s="8" t="n">
        <x:v>8</x:v>
      </x:c>
      <x:c r="J701" s="8" t="n">
        <x:v>5</x:v>
      </x:c>
      <x:c r="K701" s="8" t="str">
        <x:v>unverified-denominator</x:v>
      </x:c>
      <x:c r="L701" s="8" t="d">
        <x:v>2026-09-16T05:12:38.111Z</x:v>
      </x:c>
      <x:c r="M701" s="8" t="str">
        <x:v>https://apm.activecommunities.com/portlandparks/Activity_Search/mdcc---pre---penguin/207785?locale=en-US</x:v>
      </x:c>
    </x:row>
    <x:row r="702" ht="38" customHeight="1">
      <x:c r="A702" s="7" t="str">
        <x:v>207789</x:v>
      </x:c>
      <x:c r="B702" s="12" t="str">
        <x:v>MDCC - Pre - Penguin</x:v>
      </x:c>
      <x:c r="C702" s="12" t="str">
        <x:v>Matt Dishman Indoor Pool</x:v>
      </x:c>
      <x:c r="D702" s="12" t="str">
        <x:v>Aquatics - Lessons</x:v>
      </x:c>
      <x:c r="E702" s="7" t="str">
        <x:v>future</x:v>
      </x:c>
      <x:c r="F702" s="7" t="str">
        <x:v>2026-10-03</x:v>
      </x:c>
      <x:c r="G702" s="7" t="str">
        <x:v>2026-12-12</x:v>
      </x:c>
      <x:c r="H702" s="7" t="n">
        <x:v>4</x:v>
      </x:c>
      <x:c r="I702" s="7" t="n">
        <x:v>6</x:v>
      </x:c>
      <x:c r="J702" s="7" t="n">
        <x:v>5</x:v>
      </x:c>
      <x:c r="K702" s="7" t="str">
        <x:v>unverified-denominator</x:v>
      </x:c>
      <x:c r="L702" s="7" t="d">
        <x:v>2026-09-16T05:12:38.111Z</x:v>
      </x:c>
      <x:c r="M702" s="7" t="str">
        <x:v>https://apm.activecommunities.com/portlandparks/Activity_Search/mdcc---pre---penguin/207789?locale=en-US</x:v>
      </x:c>
    </x:row>
    <x:row r="703" ht="38" customHeight="1">
      <x:c r="A703" s="8" t="str">
        <x:v>207776</x:v>
      </x:c>
      <x:c r="B703" s="11" t="str">
        <x:v>MDCC - Pre - Penguin</x:v>
      </x:c>
      <x:c r="C703" s="11" t="str">
        <x:v>Matt Dishman Indoor Pool</x:v>
      </x:c>
      <x:c r="D703" s="11" t="str">
        <x:v>Aquatics - Lessons</x:v>
      </x:c>
      <x:c r="E703" s="8" t="str">
        <x:v>future</x:v>
      </x:c>
      <x:c r="F703" s="8" t="str">
        <x:v>2026-10-03</x:v>
      </x:c>
      <x:c r="G703" s="8" t="str">
        <x:v>2026-12-12</x:v>
      </x:c>
      <x:c r="H703" s="8" t="n">
        <x:v>5</x:v>
      </x:c>
      <x:c r="I703" s="8" t="n">
        <x:v>9</x:v>
      </x:c>
      <x:c r="J703" s="8" t="n">
        <x:v>5</x:v>
      </x:c>
      <x:c r="K703" s="8" t="str">
        <x:v>unverified-denominator</x:v>
      </x:c>
      <x:c r="L703" s="8" t="d">
        <x:v>2026-09-16T05:12:38.111Z</x:v>
      </x:c>
      <x:c r="M703" s="8" t="str">
        <x:v>https://apm.activecommunities.com/portlandparks/Activity_Search/mdcc---pre---penguin/207776?locale=en-US</x:v>
      </x:c>
    </x:row>
    <x:row r="704" ht="38" customHeight="1">
      <x:c r="A704" s="7" t="str">
        <x:v>207775</x:v>
      </x:c>
      <x:c r="B704" s="12" t="str">
        <x:v>MDCC - Sea Lion</x:v>
      </x:c>
      <x:c r="C704" s="12" t="str">
        <x:v>Matt Dishman Indoor Pool</x:v>
      </x:c>
      <x:c r="D704" s="12" t="str">
        <x:v>Aquatics - Lessons</x:v>
      </x:c>
      <x:c r="E704" s="7" t="str">
        <x:v>future</x:v>
      </x:c>
      <x:c r="F704" s="7" t="str">
        <x:v>2026-10-03</x:v>
      </x:c>
      <x:c r="G704" s="7" t="str">
        <x:v>2026-12-12</x:v>
      </x:c>
      <x:c r="H704" s="7" t="n">
        <x:v>6</x:v>
      </x:c>
      <x:c r="I704" s="7" t="n">
        <x:v>9</x:v>
      </x:c>
      <x:c r="J704" s="7" t="n">
        <x:v>8</x:v>
      </x:c>
      <x:c r="K704" s="7" t="str">
        <x:v>unverified-denominator</x:v>
      </x:c>
      <x:c r="L704" s="7" t="d">
        <x:v>2026-09-16T05:12:38.111Z</x:v>
      </x:c>
      <x:c r="M704" s="7" t="str">
        <x:v>https://apm.activecommunities.com/portlandparks/Activity_Search/mdcc---sea-lion/207775?locale=en-US</x:v>
      </x:c>
    </x:row>
    <x:row r="705" ht="38" customHeight="1">
      <x:c r="A705" s="8" t="str">
        <x:v>207773</x:v>
      </x:c>
      <x:c r="B705" s="11" t="str">
        <x:v>MDCC - Seal</x:v>
      </x:c>
      <x:c r="C705" s="11" t="str">
        <x:v>Matt Dishman Indoor Pool</x:v>
      </x:c>
      <x:c r="D705" s="11" t="str">
        <x:v>Aquatics - Lessons</x:v>
      </x:c>
      <x:c r="E705" s="8" t="str">
        <x:v>future</x:v>
      </x:c>
      <x:c r="F705" s="8" t="str">
        <x:v>2026-10-03</x:v>
      </x:c>
      <x:c r="G705" s="8" t="str">
        <x:v>2026-12-12</x:v>
      </x:c>
      <x:c r="H705" s="8" t="n">
        <x:v>5</x:v>
      </x:c>
      <x:c r="I705" s="8" t="n">
        <x:v>14</x:v>
      </x:c>
      <x:c r="J705" s="8" t="n">
        <x:v>6</x:v>
      </x:c>
      <x:c r="K705" s="8" t="str">
        <x:v>unverified-denominator</x:v>
      </x:c>
      <x:c r="L705" s="8" t="d">
        <x:v>2026-09-16T05:12:38.111Z</x:v>
      </x:c>
      <x:c r="M705" s="8" t="str">
        <x:v>https://apm.activecommunities.com/portlandparks/Activity_Search/mdcc---seal/207773?locale=en-US</x:v>
      </x:c>
    </x:row>
    <x:row r="706" ht="38" customHeight="1">
      <x:c r="A706" s="7" t="str">
        <x:v>207768</x:v>
      </x:c>
      <x:c r="B706" s="12" t="str">
        <x:v>MDCC - Seal</x:v>
      </x:c>
      <x:c r="C706" s="12" t="str">
        <x:v>Matt Dishman Indoor Pool</x:v>
      </x:c>
      <x:c r="D706" s="12" t="str">
        <x:v>Aquatics - Lessons</x:v>
      </x:c>
      <x:c r="E706" s="7" t="str">
        <x:v>future</x:v>
      </x:c>
      <x:c r="F706" s="7" t="str">
        <x:v>2026-10-03</x:v>
      </x:c>
      <x:c r="G706" s="7" t="str">
        <x:v>2026-12-12</x:v>
      </x:c>
      <x:c r="H706" s="7" t="n">
        <x:v>6</x:v>
      </x:c>
      <x:c r="I706" s="7" t="n">
        <x:v>12</x:v>
      </x:c>
      <x:c r="J706" s="7" t="n">
        <x:v>6</x:v>
      </x:c>
      <x:c r="K706" s="7" t="str">
        <x:v>unverified-denominator</x:v>
      </x:c>
      <x:c r="L706" s="7" t="d">
        <x:v>2026-09-16T05:12:38.111Z</x:v>
      </x:c>
      <x:c r="M706" s="7" t="str">
        <x:v>https://apm.activecommunities.com/portlandparks/Activity_Search/mdcc---seal/207768?locale=en-US</x:v>
      </x:c>
    </x:row>
    <x:row r="707" ht="38" customHeight="1">
      <x:c r="A707" s="8" t="str">
        <x:v>207761</x:v>
      </x:c>
      <x:c r="B707" s="11" t="str">
        <x:v>MDCC - Seal</x:v>
      </x:c>
      <x:c r="C707" s="11" t="str">
        <x:v>Matt Dishman Indoor Pool</x:v>
      </x:c>
      <x:c r="D707" s="11" t="str">
        <x:v>Aquatics - Lessons</x:v>
      </x:c>
      <x:c r="E707" s="8" t="str">
        <x:v>future</x:v>
      </x:c>
      <x:c r="F707" s="8" t="str">
        <x:v>2026-09-29</x:v>
      </x:c>
      <x:c r="G707" s="8" t="str">
        <x:v>2026-10-29</x:v>
      </x:c>
      <x:c r="H707" s="8" t="n">
        <x:v>6</x:v>
      </x:c>
      <x:c r="I707" s="8" t="n">
        <x:v>8</x:v>
      </x:c>
      <x:c r="J707" s="8" t="n">
        <x:v>6</x:v>
      </x:c>
      <x:c r="K707" s="8" t="str">
        <x:v>unverified-denominator</x:v>
      </x:c>
      <x:c r="L707" s="8" t="d">
        <x:v>2026-09-16T05:12:38.111Z</x:v>
      </x:c>
      <x:c r="M707" s="8" t="str">
        <x:v>https://apm.activecommunities.com/portlandparks/Activity_Search/mdcc---seal/207761?locale=en-US</x:v>
      </x:c>
    </x:row>
    <x:row r="708" ht="38" customHeight="1">
      <x:c r="A708" s="7" t="str">
        <x:v>207744</x:v>
      </x:c>
      <x:c r="B708" s="12" t="str">
        <x:v>MDCC - Seal</x:v>
      </x:c>
      <x:c r="C708" s="12" t="str">
        <x:v>Matt Dishman Indoor Pool</x:v>
      </x:c>
      <x:c r="D708" s="12" t="str">
        <x:v>Aquatics - Lessons</x:v>
      </x:c>
      <x:c r="E708" s="7" t="str">
        <x:v>future</x:v>
      </x:c>
      <x:c r="F708" s="7" t="str">
        <x:v>2026-09-28</x:v>
      </x:c>
      <x:c r="G708" s="7" t="str">
        <x:v>2026-10-28</x:v>
      </x:c>
      <x:c r="H708" s="7" t="n">
        <x:v>6</x:v>
      </x:c>
      <x:c r="I708" s="7" t="n">
        <x:v>9</x:v>
      </x:c>
      <x:c r="J708" s="7" t="n">
        <x:v>6</x:v>
      </x:c>
      <x:c r="K708" s="7" t="str">
        <x:v>unverified-denominator</x:v>
      </x:c>
      <x:c r="L708" s="7" t="d">
        <x:v>2026-09-16T05:12:38.111Z</x:v>
      </x:c>
      <x:c r="M708" s="7" t="str">
        <x:v>https://apm.activecommunities.com/portlandparks/Activity_Search/mdcc---seal/207744?locale=en-US</x:v>
      </x:c>
    </x:row>
    <x:row r="709" ht="38" customHeight="1">
      <x:c r="A709" s="8" t="str">
        <x:v>207746</x:v>
      </x:c>
      <x:c r="B709" s="11" t="str">
        <x:v>MDCC - Seal</x:v>
      </x:c>
      <x:c r="C709" s="11" t="str">
        <x:v>Matt Dishman Indoor Pool</x:v>
      </x:c>
      <x:c r="D709" s="11" t="str">
        <x:v>Aquatics - Lessons</x:v>
      </x:c>
      <x:c r="E709" s="8" t="str">
        <x:v>future</x:v>
      </x:c>
      <x:c r="F709" s="8" t="str">
        <x:v>2026-09-29</x:v>
      </x:c>
      <x:c r="G709" s="8" t="str">
        <x:v>2026-10-29</x:v>
      </x:c>
      <x:c r="H709" s="8" t="n">
        <x:v>6</x:v>
      </x:c>
      <x:c r="I709" s="8" t="n">
        <x:v>8</x:v>
      </x:c>
      <x:c r="J709" s="8" t="n">
        <x:v>6</x:v>
      </x:c>
      <x:c r="K709" s="8" t="str">
        <x:v>unverified-denominator</x:v>
      </x:c>
      <x:c r="L709" s="8" t="d">
        <x:v>2026-09-16T05:12:38.111Z</x:v>
      </x:c>
      <x:c r="M709" s="8" t="str">
        <x:v>https://apm.activecommunities.com/portlandparks/Activity_Search/mdcc---seal/207746?locale=en-US</x:v>
      </x:c>
    </x:row>
    <x:row r="710" ht="38" customHeight="1">
      <x:c r="A710" s="7" t="str">
        <x:v>207740</x:v>
      </x:c>
      <x:c r="B710" s="12" t="str">
        <x:v>MDCC - Starfish</x:v>
      </x:c>
      <x:c r="C710" s="12" t="str">
        <x:v>Matt Dishman Indoor Pool</x:v>
      </x:c>
      <x:c r="D710" s="12" t="str">
        <x:v>Aquatics - Lessons</x:v>
      </x:c>
      <x:c r="E710" s="7" t="str">
        <x:v>future</x:v>
      </x:c>
      <x:c r="F710" s="7" t="str">
        <x:v>2026-09-28</x:v>
      </x:c>
      <x:c r="G710" s="7" t="str">
        <x:v>2026-10-28</x:v>
      </x:c>
      <x:c r="H710" s="7" t="n">
        <x:v>5</x:v>
      </x:c>
      <x:c r="I710" s="7" t="n">
        <x:v>2</x:v>
      </x:c>
      <x:c r="J710" s="7" t="n">
        <x:v>6</x:v>
      </x:c>
      <x:c r="K710" s="7" t="str">
        <x:v>unverified-denominator</x:v>
      </x:c>
      <x:c r="L710" s="7" t="d">
        <x:v>2026-09-16T05:12:38.111Z</x:v>
      </x:c>
      <x:c r="M710" s="7" t="str">
        <x:v>https://apm.activecommunities.com/portlandparks/Activity_Search/mdcc---starfish/207740?locale=en-US</x:v>
      </x:c>
    </x:row>
    <x:row r="711" ht="38" customHeight="1">
      <x:c r="A711" s="8" t="str">
        <x:v>207755</x:v>
      </x:c>
      <x:c r="B711" s="11" t="str">
        <x:v>MDCC - Starfish</x:v>
      </x:c>
      <x:c r="C711" s="11" t="str">
        <x:v>Matt Dishman Indoor Pool</x:v>
      </x:c>
      <x:c r="D711" s="11" t="str">
        <x:v>Aquatics - Lessons</x:v>
      </x:c>
      <x:c r="E711" s="8" t="str">
        <x:v>future</x:v>
      </x:c>
      <x:c r="F711" s="8" t="str">
        <x:v>2026-09-29</x:v>
      </x:c>
      <x:c r="G711" s="8" t="str">
        <x:v>2026-10-29</x:v>
      </x:c>
      <x:c r="H711" s="8" t="n">
        <x:v>6</x:v>
      </x:c>
      <x:c r="I711" s="8" t="n">
        <x:v>3</x:v>
      </x:c>
      <x:c r="J711" s="8" t="n">
        <x:v>6</x:v>
      </x:c>
      <x:c r="K711" s="8" t="str">
        <x:v>unverified-denominator</x:v>
      </x:c>
      <x:c r="L711" s="8" t="d">
        <x:v>2026-09-16T05:12:38.111Z</x:v>
      </x:c>
      <x:c r="M711" s="8" t="str">
        <x:v>https://apm.activecommunities.com/portlandparks/Activity_Search/mdcc---starfish/207755?locale=en-US</x:v>
      </x:c>
    </x:row>
    <x:row r="712" ht="38" customHeight="1">
      <x:c r="A712" s="7" t="str">
        <x:v>207786</x:v>
      </x:c>
      <x:c r="B712" s="12" t="str">
        <x:v>MDCC - Starfish</x:v>
      </x:c>
      <x:c r="C712" s="12" t="str">
        <x:v>Matt Dishman Indoor Pool</x:v>
      </x:c>
      <x:c r="D712" s="12" t="str">
        <x:v>Aquatics - Lessons</x:v>
      </x:c>
      <x:c r="E712" s="7" t="str">
        <x:v>future</x:v>
      </x:c>
      <x:c r="F712" s="7" t="str">
        <x:v>2026-10-03</x:v>
      </x:c>
      <x:c r="G712" s="7" t="str">
        <x:v>2026-12-12</x:v>
      </x:c>
      <x:c r="H712" s="7" t="n">
        <x:v>5</x:v>
      </x:c>
      <x:c r="I712" s="7" t="n">
        <x:v>11</x:v>
      </x:c>
      <x:c r="J712" s="7" t="n">
        <x:v>6</x:v>
      </x:c>
      <x:c r="K712" s="7" t="str">
        <x:v>unverified-denominator</x:v>
      </x:c>
      <x:c r="L712" s="7" t="d">
        <x:v>2026-09-16T05:12:38.111Z</x:v>
      </x:c>
      <x:c r="M712" s="7" t="str">
        <x:v>https://apm.activecommunities.com/portlandparks/Activity_Search/mdcc---starfish/207786?locale=en-US</x:v>
      </x:c>
    </x:row>
    <x:row r="713" ht="38" customHeight="1">
      <x:c r="A713" s="8" t="str">
        <x:v>207726</x:v>
      </x:c>
      <x:c r="B713" s="11" t="str">
        <x:v>MDCC - Starfish</x:v>
      </x:c>
      <x:c r="C713" s="11" t="str">
        <x:v>Matt Dishman Indoor Pool</x:v>
      </x:c>
      <x:c r="D713" s="11" t="str">
        <x:v>Aquatics - Lessons</x:v>
      </x:c>
      <x:c r="E713" s="8" t="str">
        <x:v>future</x:v>
      </x:c>
      <x:c r="F713" s="8" t="str">
        <x:v>2026-09-29</x:v>
      </x:c>
      <x:c r="G713" s="8" t="str">
        <x:v>2026-10-29</x:v>
      </x:c>
      <x:c r="H713" s="8" t="n">
        <x:v>3</x:v>
      </x:c>
      <x:c r="I713" s="8"/>
      <x:c r="J713" s="8" t="n">
        <x:v>6</x:v>
      </x:c>
      <x:c r="K713" s="8" t="str">
        <x:v>unverified-denominator</x:v>
      </x:c>
      <x:c r="L713" s="8" t="d">
        <x:v>2026-09-16T05:12:38.111Z</x:v>
      </x:c>
      <x:c r="M713" s="8" t="str">
        <x:v>https://apm.activecommunities.com/portlandparks/Activity_Search/mdcc---starfish/207726?locale=en-US</x:v>
      </x:c>
    </x:row>
    <x:row r="714" ht="38" customHeight="1">
      <x:c r="A714" s="7" t="str">
        <x:v>207729</x:v>
      </x:c>
      <x:c r="B714" s="12" t="str">
        <x:v>MDCC - Starfish</x:v>
      </x:c>
      <x:c r="C714" s="12" t="str">
        <x:v>Matt Dishman Indoor Pool</x:v>
      </x:c>
      <x:c r="D714" s="12" t="str">
        <x:v>Aquatics - Lessons</x:v>
      </x:c>
      <x:c r="E714" s="7" t="str">
        <x:v>future</x:v>
      </x:c>
      <x:c r="F714" s="7" t="str">
        <x:v>2026-09-29</x:v>
      </x:c>
      <x:c r="G714" s="7" t="str">
        <x:v>2026-10-29</x:v>
      </x:c>
      <x:c r="H714" s="7" t="n">
        <x:v>4</x:v>
      </x:c>
      <x:c r="I714" s="7"/>
      <x:c r="J714" s="7" t="n">
        <x:v>6</x:v>
      </x:c>
      <x:c r="K714" s="7" t="str">
        <x:v>unverified-denominator</x:v>
      </x:c>
      <x:c r="L714" s="7" t="d">
        <x:v>2026-09-16T05:12:38.111Z</x:v>
      </x:c>
      <x:c r="M714" s="7" t="str">
        <x:v>https://apm.activecommunities.com/portlandparks/Activity_Search/mdcc---starfish/207729?locale=en-US</x:v>
      </x:c>
    </x:row>
    <x:row r="715" ht="38" customHeight="1">
      <x:c r="A715" s="8" t="str">
        <x:v>207780</x:v>
      </x:c>
      <x:c r="B715" s="11" t="str">
        <x:v>MDCC - Teen Beginner</x:v>
      </x:c>
      <x:c r="C715" s="11" t="str">
        <x:v>Matt Dishman Indoor Pool</x:v>
      </x:c>
      <x:c r="D715" s="11" t="str">
        <x:v>Aquatics - Lessons</x:v>
      </x:c>
      <x:c r="E715" s="8" t="str">
        <x:v>future</x:v>
      </x:c>
      <x:c r="F715" s="8" t="str">
        <x:v>2026-10-03</x:v>
      </x:c>
      <x:c r="G715" s="8" t="str">
        <x:v>2026-12-12</x:v>
      </x:c>
      <x:c r="H715" s="8" t="n">
        <x:v>6</x:v>
      </x:c>
      <x:c r="I715" s="8" t="n">
        <x:v>1</x:v>
      </x:c>
      <x:c r="J715" s="8" t="n">
        <x:v>6</x:v>
      </x:c>
      <x:c r="K715" s="8" t="str">
        <x:v>unverified-denominator</x:v>
      </x:c>
      <x:c r="L715" s="8" t="d">
        <x:v>2026-09-16T05:12:38.111Z</x:v>
      </x:c>
      <x:c r="M715" s="8" t="str">
        <x:v>https://apm.activecommunities.com/portlandparks/Activity_Search/mdcc---teen-beginner/207780?locale=en-US</x:v>
      </x:c>
    </x:row>
    <x:row r="716" ht="38" customHeight="1">
      <x:c r="A716" s="7" t="str">
        <x:v>207762</x:v>
      </x:c>
      <x:c r="B716" s="12" t="str">
        <x:v>MDCC - Teen Beginner</x:v>
      </x:c>
      <x:c r="C716" s="12" t="str">
        <x:v>Matt Dishman Indoor Pool</x:v>
      </x:c>
      <x:c r="D716" s="12" t="str">
        <x:v>Aquatics - Lessons</x:v>
      </x:c>
      <x:c r="E716" s="7" t="str">
        <x:v>future</x:v>
      </x:c>
      <x:c r="F716" s="7" t="str">
        <x:v>2026-09-29</x:v>
      </x:c>
      <x:c r="G716" s="7" t="str">
        <x:v>2026-10-29</x:v>
      </x:c>
      <x:c r="H716" s="7" t="n">
        <x:v>6</x:v>
      </x:c>
      <x:c r="I716" s="7" t="n">
        <x:v>2</x:v>
      </x:c>
      <x:c r="J716" s="7" t="n">
        <x:v>6</x:v>
      </x:c>
      <x:c r="K716" s="7" t="str">
        <x:v>unverified-denominator</x:v>
      </x:c>
      <x:c r="L716" s="7" t="d">
        <x:v>2026-09-16T05:12:38.111Z</x:v>
      </x:c>
      <x:c r="M716" s="7" t="str">
        <x:v>https://apm.activecommunities.com/portlandparks/Activity_Search/mdcc---teen-beginner/207762?locale=en-US</x:v>
      </x:c>
    </x:row>
    <x:row r="717" ht="38" customHeight="1">
      <x:c r="A717" s="8" t="str">
        <x:v>208400</x:v>
      </x:c>
      <x:c r="B717" s="11" t="str">
        <x:v>Meet Us There - Conifer Walk</x:v>
      </x:c>
      <x:c r="C717" s="11" t="str">
        <x:v>Hoyt Arboretum: 4000 SW Fairview Blvd, Portland, OR 97205</x:v>
      </x:c>
      <x:c r="D717" s="11" t="str">
        <x:v>Trips</x:v>
      </x:c>
      <x:c r="E717" s="8" t="str">
        <x:v>undated</x:v>
      </x:c>
      <x:c r="F717" s="8" t="str">
        <x:v>2026-12-09</x:v>
      </x:c>
      <x:c r="G717" s="8" t="str"/>
      <x:c r="H717" s="8" t="n">
        <x:v>0</x:v>
      </x:c>
      <x:c r="I717" s="8"/>
      <x:c r="J717" s="8" t="n">
        <x:v>15</x:v>
      </x:c>
      <x:c r="K717" s="8" t="str">
        <x:v>unverified-denominator</x:v>
      </x:c>
      <x:c r="L717" s="8" t="d">
        <x:v>2026-09-16T05:12:38.111Z</x:v>
      </x:c>
      <x:c r="M717" s="8" t="str">
        <x:v>https://apm.activecommunities.com/portlandparks/Activity_Search/meet-us-there---conifer-walk/208400?locale=en-US</x:v>
      </x:c>
    </x:row>
    <x:row r="718" ht="38" customHeight="1">
      <x:c r="A718" s="7" t="str">
        <x:v>208343</x:v>
      </x:c>
      <x:c r="B718" s="12" t="str">
        <x:v>Meet Us There - Hopscotch</x:v>
      </x:c>
      <x:c r="C718" s="12" t="str">
        <x:v>Hopscotch 1020 SE 10th Ave, Portland, OR 97214</x:v>
      </x:c>
      <x:c r="D718" s="12" t="str">
        <x:v>Trips</x:v>
      </x:c>
      <x:c r="E718" s="7" t="str">
        <x:v>undated</x:v>
      </x:c>
      <x:c r="F718" s="7" t="str">
        <x:v>2026-11-09</x:v>
      </x:c>
      <x:c r="G718" s="7" t="str"/>
      <x:c r="H718" s="7" t="n">
        <x:v>0</x:v>
      </x:c>
      <x:c r="I718" s="7"/>
      <x:c r="J718" s="7" t="n">
        <x:v>20</x:v>
      </x:c>
      <x:c r="K718" s="7" t="str">
        <x:v>unverified-denominator</x:v>
      </x:c>
      <x:c r="L718" s="7" t="d">
        <x:v>2026-09-16T05:12:38.111Z</x:v>
      </x:c>
      <x:c r="M718" s="7" t="str">
        <x:v>https://apm.activecommunities.com/portlandparks/Activity_Search/meet-us-there---hopscotch/208343?locale=en-US</x:v>
      </x:c>
    </x:row>
    <x:row r="719" ht="38" customHeight="1">
      <x:c r="A719" s="8" t="str">
        <x:v>201766</x:v>
      </x:c>
      <x:c r="B719" s="11" t="str">
        <x:v>Meet Us There AR - Adaptive Hikes Columbia Ch. Arboretum</x:v>
      </x:c>
      <x:c r="C719" s="11" t="str">
        <x:v>Location: Columbia Childrens Arboretum 10040 NE 6th Drive Portland, OR 97211</x:v>
      </x:c>
      <x:c r="D719" s="11" t="str">
        <x:v>Adaptive Recreation</x:v>
      </x:c>
      <x:c r="E719" s="8" t="str">
        <x:v>undated</x:v>
      </x:c>
      <x:c r="F719" s="8" t="str">
        <x:v>2026-09-25</x:v>
      </x:c>
      <x:c r="G719" s="8" t="str"/>
      <x:c r="H719" s="8" t="n">
        <x:v>5</x:v>
      </x:c>
      <x:c r="I719" s="8"/>
      <x:c r="J719" s="8" t="n">
        <x:v>10</x:v>
      </x:c>
      <x:c r="K719" s="8" t="str">
        <x:v>unverified-denominator</x:v>
      </x:c>
      <x:c r="L719" s="8" t="d">
        <x:v>2026-09-16T05:12:38.111Z</x:v>
      </x:c>
      <x:c r="M719" s="8" t="str">
        <x:v>https://apm.activecommunities.com/portlandparks/Activity_Search/meet-us-there-ar---adaptive-hikes-columbia-ch-arboretum/201766?locale=en-US</x:v>
      </x:c>
    </x:row>
    <x:row r="720" ht="38" customHeight="1">
      <x:c r="A720" s="7" t="str">
        <x:v>208481</x:v>
      </x:c>
      <x:c r="B720" s="12" t="str">
        <x:v>Meet Us There AR - Friends, Food &amp; Fun @ Heidi's Restaurant</x:v>
      </x:c>
      <x:c r="C720" s="12" t="str">
        <x:v>Heidi's Restaurant 1230 NE Cleveland Ave.</x:v>
      </x:c>
      <x:c r="D720" s="12" t="str">
        <x:v>Adaptive Recreation</x:v>
      </x:c>
      <x:c r="E720" s="7" t="str">
        <x:v>undated</x:v>
      </x:c>
      <x:c r="F720" s="7" t="str">
        <x:v>2026-10-20</x:v>
      </x:c>
      <x:c r="G720" s="7" t="str"/>
      <x:c r="H720" s="7" t="n">
        <x:v>25</x:v>
      </x:c>
      <x:c r="I720" s="7" t="n">
        <x:v>3</x:v>
      </x:c>
      <x:c r="J720" s="7" t="n">
        <x:v>25</x:v>
      </x:c>
      <x:c r="K720" s="7" t="str">
        <x:v>unverified-denominator</x:v>
      </x:c>
      <x:c r="L720" s="7" t="d">
        <x:v>2026-09-16T05:12:38.111Z</x:v>
      </x:c>
      <x:c r="M720" s="7" t="str">
        <x:v>https://apm.activecommunities.com/portlandparks/Activity_Search/meet-us-there-ar---friends-food-fun-heidi-s-restaurant/208481?locale=en-US</x:v>
      </x:c>
    </x:row>
    <x:row r="721" ht="38" customHeight="1">
      <x:c r="A721" s="8" t="str">
        <x:v>208479</x:v>
      </x:c>
      <x:c r="B721" s="11" t="str">
        <x:v>Meet Us There AR - Friends, Food &amp; Fun @ Spaghetti Factory</x:v>
      </x:c>
      <x:c r="C721" s="11" t="str">
        <x:v>The Spaghetti Factory 715 S Bancroft St.</x:v>
      </x:c>
      <x:c r="D721" s="11" t="str">
        <x:v>Adaptive Recreation</x:v>
      </x:c>
      <x:c r="E721" s="8" t="str">
        <x:v>undated</x:v>
      </x:c>
      <x:c r="F721" s="8" t="str">
        <x:v>2026-12-22</x:v>
      </x:c>
      <x:c r="G721" s="8" t="str"/>
      <x:c r="H721" s="8" t="n">
        <x:v>0</x:v>
      </x:c>
      <x:c r="I721" s="8"/>
      <x:c r="J721" s="8" t="n">
        <x:v>25</x:v>
      </x:c>
      <x:c r="K721" s="8" t="str">
        <x:v>unverified-denominator</x:v>
      </x:c>
      <x:c r="L721" s="8" t="d">
        <x:v>2026-09-16T05:12:38.111Z</x:v>
      </x:c>
      <x:c r="M721" s="8" t="str">
        <x:v>https://apm.activecommunities.com/portlandparks/Activity_Search/meet-us-there-ar---friends-food-fun-spaghetti-factory/208479?locale=en-US</x:v>
      </x:c>
    </x:row>
    <x:row r="722" ht="38" customHeight="1">
      <x:c r="A722" s="7" t="str">
        <x:v>208480</x:v>
      </x:c>
      <x:c r="B722" s="12" t="str">
        <x:v>Meet Us There AR - Friends, Foos &amp; Fun @ El Indio Restaurant</x:v>
      </x:c>
      <x:c r="C722" s="12" t="str">
        <x:v>El Indio Mexican Restaurant 19422 SE Stark St. Portland, Or.</x:v>
      </x:c>
      <x:c r="D722" s="12" t="str">
        <x:v>Adaptive Recreation</x:v>
      </x:c>
      <x:c r="E722" s="7" t="str">
        <x:v>undated</x:v>
      </x:c>
      <x:c r="F722" s="7" t="str">
        <x:v>2026-11-17</x:v>
      </x:c>
      <x:c r="G722" s="7" t="str"/>
      <x:c r="H722" s="7" t="n">
        <x:v>0</x:v>
      </x:c>
      <x:c r="I722" s="7"/>
      <x:c r="J722" s="7" t="n">
        <x:v>25</x:v>
      </x:c>
      <x:c r="K722" s="7" t="str">
        <x:v>unverified-denominator</x:v>
      </x:c>
      <x:c r="L722" s="7" t="d">
        <x:v>2026-09-16T05:12:38.111Z</x:v>
      </x:c>
      <x:c r="M722" s="7" t="str">
        <x:v>https://apm.activecommunities.com/portlandparks/Activity_Search/meet-us-there-ar---friends-foos-fun-el-indio-restaurant/208480?locale=en-US</x:v>
      </x:c>
    </x:row>
    <x:row r="723" ht="38" customHeight="1">
      <x:c r="A723" s="8" t="str">
        <x:v>201883</x:v>
      </x:c>
      <x:c r="B723" s="11" t="str">
        <x:v>Meet Us There LL- The Grotto</x:v>
      </x:c>
      <x:c r="C723" s="11" t="str">
        <x:v>Parking Lot, east end. 8840 NE Skidmore Street, entrance at NE 85th and NE Sandy Blvd.</x:v>
      </x:c>
      <x:c r="D723" s="11" t="str">
        <x:v>Trips</x:v>
      </x:c>
      <x:c r="E723" s="8" t="str">
        <x:v>undated</x:v>
      </x:c>
      <x:c r="F723" s="8" t="str">
        <x:v>2026-09-16</x:v>
      </x:c>
      <x:c r="G723" s="8" t="str"/>
      <x:c r="H723" s="8" t="n">
        <x:v>10</x:v>
      </x:c>
      <x:c r="I723" s="8"/>
      <x:c r="J723" s="8" t="n">
        <x:v>20</x:v>
      </x:c>
      <x:c r="K723" s="8" t="str">
        <x:v>unverified-denominator</x:v>
      </x:c>
      <x:c r="L723" s="8" t="d">
        <x:v>2026-09-16T05:12:38.111Z</x:v>
      </x:c>
      <x:c r="M723" s="8" t="str">
        <x:v>https://apm.activecommunities.com/portlandparks/Activity_Search/meet-us-there-ll--the-grotto/201883?locale=en-US</x:v>
      </x:c>
    </x:row>
    <x:row r="724" ht="38" customHeight="1">
      <x:c r="A724" s="7" t="str">
        <x:v>204691</x:v>
      </x:c>
      <x:c r="B724" s="12" t="str">
        <x:v>Messy Art - Art Explorers: Back to School</x:v>
      </x:c>
      <x:c r="C724" s="12" t="str">
        <x:v>Woodstock Cmty Ctr</x:v>
      </x:c>
      <x:c r="D724" s="12" t="str">
        <x:v>Arts</x:v>
      </x:c>
      <x:c r="E724" s="7" t="str">
        <x:v>active</x:v>
      </x:c>
      <x:c r="F724" s="7" t="str">
        <x:v>2026-09-08</x:v>
      </x:c>
      <x:c r="G724" s="7" t="str">
        <x:v>2026-09-22</x:v>
      </x:c>
      <x:c r="H724" s="7" t="n">
        <x:v>15</x:v>
      </x:c>
      <x:c r="I724" s="7"/>
      <x:c r="J724" s="7" t="n">
        <x:v>15</x:v>
      </x:c>
      <x:c r="K724" s="7" t="str">
        <x:v>unverified-denominator</x:v>
      </x:c>
      <x:c r="L724" s="7" t="d">
        <x:v>2026-09-16T05:12:38.111Z</x:v>
      </x:c>
      <x:c r="M724" s="7" t="str">
        <x:v>https://apm.activecommunities.com/portlandparks/Activity_Search/messy-art---art-explorers-back-to-school/204691?locale=en-US</x:v>
      </x:c>
    </x:row>
    <x:row r="725" ht="38" customHeight="1">
      <x:c r="A725" s="8" t="str">
        <x:v>204693</x:v>
      </x:c>
      <x:c r="B725" s="11" t="str">
        <x:v>Messy Art - Art Explorers: Back to School</x:v>
      </x:c>
      <x:c r="C725" s="11" t="str">
        <x:v>Woodstock Cmty Ctr</x:v>
      </x:c>
      <x:c r="D725" s="11" t="str">
        <x:v>Arts</x:v>
      </x:c>
      <x:c r="E725" s="8" t="str">
        <x:v>active</x:v>
      </x:c>
      <x:c r="F725" s="8" t="str">
        <x:v>2026-09-08</x:v>
      </x:c>
      <x:c r="G725" s="8" t="str">
        <x:v>2026-09-22</x:v>
      </x:c>
      <x:c r="H725" s="8" t="n">
        <x:v>15</x:v>
      </x:c>
      <x:c r="I725" s="8"/>
      <x:c r="J725" s="8" t="n">
        <x:v>15</x:v>
      </x:c>
      <x:c r="K725" s="8" t="str">
        <x:v>unverified-denominator</x:v>
      </x:c>
      <x:c r="L725" s="8" t="d">
        <x:v>2026-09-16T05:12:38.111Z</x:v>
      </x:c>
      <x:c r="M725" s="8" t="str">
        <x:v>https://apm.activecommunities.com/portlandparks/Activity_Search/messy-art---art-explorers-back-to-school/204693?locale=en-US</x:v>
      </x:c>
    </x:row>
    <x:row r="726" ht="38" customHeight="1">
      <x:c r="A726" s="7" t="str">
        <x:v>207673</x:v>
      </x:c>
      <x:c r="B726" s="12" t="str">
        <x:v>Messy Art - Art Explorers: Pumpkin Time!</x:v>
      </x:c>
      <x:c r="C726" s="12" t="str">
        <x:v>Woodstock Cmty Ctr</x:v>
      </x:c>
      <x:c r="D726" s="12" t="str">
        <x:v>Arts</x:v>
      </x:c>
      <x:c r="E726" s="7" t="str">
        <x:v>future</x:v>
      </x:c>
      <x:c r="F726" s="7" t="str">
        <x:v>2026-09-29</x:v>
      </x:c>
      <x:c r="G726" s="7" t="str">
        <x:v>2026-10-27</x:v>
      </x:c>
      <x:c r="H726" s="7" t="n">
        <x:v>15</x:v>
      </x:c>
      <x:c r="I726" s="7"/>
      <x:c r="J726" s="7" t="n">
        <x:v>15</x:v>
      </x:c>
      <x:c r="K726" s="7" t="str">
        <x:v>unverified-denominator</x:v>
      </x:c>
      <x:c r="L726" s="7" t="d">
        <x:v>2026-09-16T05:12:38.111Z</x:v>
      </x:c>
      <x:c r="M726" s="7" t="str">
        <x:v>https://apm.activecommunities.com/portlandparks/Activity_Search/messy-art---art-explorers-pumpkin-time/207673?locale=en-US</x:v>
      </x:c>
    </x:row>
    <x:row r="727" ht="38" customHeight="1">
      <x:c r="A727" s="8" t="str">
        <x:v>207674</x:v>
      </x:c>
      <x:c r="B727" s="11" t="str">
        <x:v>Messy Art - Art Explorers: Pumpkin Time!</x:v>
      </x:c>
      <x:c r="C727" s="11" t="str">
        <x:v>Woodstock Cmty Ctr</x:v>
      </x:c>
      <x:c r="D727" s="11" t="str">
        <x:v>Arts</x:v>
      </x:c>
      <x:c r="E727" s="8" t="str">
        <x:v>future</x:v>
      </x:c>
      <x:c r="F727" s="8" t="str">
        <x:v>2026-09-29</x:v>
      </x:c>
      <x:c r="G727" s="8" t="str">
        <x:v>2026-10-27</x:v>
      </x:c>
      <x:c r="H727" s="8" t="n">
        <x:v>15</x:v>
      </x:c>
      <x:c r="I727" s="8"/>
      <x:c r="J727" s="8" t="n">
        <x:v>15</x:v>
      </x:c>
      <x:c r="K727" s="8" t="str">
        <x:v>unverified-denominator</x:v>
      </x:c>
      <x:c r="L727" s="8" t="d">
        <x:v>2026-09-16T05:12:38.111Z</x:v>
      </x:c>
      <x:c r="M727" s="8" t="str">
        <x:v>https://apm.activecommunities.com/portlandparks/Activity_Search/messy-art---art-explorers-pumpkin-time/207674?locale=en-US</x:v>
      </x:c>
    </x:row>
    <x:row r="728" ht="38" customHeight="1">
      <x:c r="A728" s="7" t="str">
        <x:v>207910</x:v>
      </x:c>
      <x:c r="B728" s="12" t="str">
        <x:v>Messy Art - Art Explorers: Seasons and Celebrations</x:v>
      </x:c>
      <x:c r="C728" s="12" t="str">
        <x:v>Woodstock Cmty Ctr</x:v>
      </x:c>
      <x:c r="D728" s="12" t="str">
        <x:v>Arts</x:v>
      </x:c>
      <x:c r="E728" s="7" t="str">
        <x:v>future</x:v>
      </x:c>
      <x:c r="F728" s="7" t="str">
        <x:v>2026-11-03</x:v>
      </x:c>
      <x:c r="G728" s="7" t="str">
        <x:v>2026-12-01</x:v>
      </x:c>
      <x:c r="H728" s="7" t="n">
        <x:v>0</x:v>
      </x:c>
      <x:c r="I728" s="7"/>
      <x:c r="J728" s="7" t="n">
        <x:v>15</x:v>
      </x:c>
      <x:c r="K728" s="7" t="str">
        <x:v>unverified-denominator</x:v>
      </x:c>
      <x:c r="L728" s="7" t="d">
        <x:v>2026-09-16T05:12:38.111Z</x:v>
      </x:c>
      <x:c r="M728" s="7" t="str">
        <x:v>https://apm.activecommunities.com/portlandparks/Activity_Search/messy-art---art-explorers-seasons-and-celebrations/207910?locale=en-US</x:v>
      </x:c>
    </x:row>
    <x:row r="729" ht="38" customHeight="1">
      <x:c r="A729" s="8" t="str">
        <x:v>207911</x:v>
      </x:c>
      <x:c r="B729" s="11" t="str">
        <x:v>Messy Art - Art Explorers: Seasons and Celebrations</x:v>
      </x:c>
      <x:c r="C729" s="11" t="str">
        <x:v>Woodstock Cmty Ctr</x:v>
      </x:c>
      <x:c r="D729" s="11" t="str">
        <x:v>Arts</x:v>
      </x:c>
      <x:c r="E729" s="8" t="str">
        <x:v>future</x:v>
      </x:c>
      <x:c r="F729" s="8" t="str">
        <x:v>2026-11-03</x:v>
      </x:c>
      <x:c r="G729" s="8" t="str">
        <x:v>2026-12-01</x:v>
      </x:c>
      <x:c r="H729" s="8" t="n">
        <x:v>0</x:v>
      </x:c>
      <x:c r="I729" s="8"/>
      <x:c r="J729" s="8" t="n">
        <x:v>15</x:v>
      </x:c>
      <x:c r="K729" s="8" t="str">
        <x:v>unverified-denominator</x:v>
      </x:c>
      <x:c r="L729" s="8" t="d">
        <x:v>2026-09-16T05:12:38.111Z</x:v>
      </x:c>
      <x:c r="M729" s="8" t="str">
        <x:v>https://apm.activecommunities.com/portlandparks/Activity_Search/messy-art---art-explorers-seasons-and-celebrations/207911?locale=en-US</x:v>
      </x:c>
    </x:row>
    <x:row r="730" ht="38" customHeight="1">
      <x:c r="A730" s="7" t="str">
        <x:v>208404</x:v>
      </x:c>
      <x:c r="B730" s="12" t="str">
        <x:v>Messy Art - Celebrations around us</x:v>
      </x:c>
      <x:c r="C730" s="12" t="str">
        <x:v>Southwest Cmty Ctr</x:v>
      </x:c>
      <x:c r="D730" s="12" t="str">
        <x:v>Arts</x:v>
      </x:c>
      <x:c r="E730" s="7" t="str">
        <x:v>future</x:v>
      </x:c>
      <x:c r="F730" s="7" t="str">
        <x:v>2026-11-04</x:v>
      </x:c>
      <x:c r="G730" s="7" t="str">
        <x:v>2026-12-09</x:v>
      </x:c>
      <x:c r="H730" s="7" t="n">
        <x:v>0</x:v>
      </x:c>
      <x:c r="I730" s="7"/>
      <x:c r="J730" s="7" t="n">
        <x:v>10</x:v>
      </x:c>
      <x:c r="K730" s="7" t="str">
        <x:v>unverified-denominator</x:v>
      </x:c>
      <x:c r="L730" s="7" t="d">
        <x:v>2026-09-16T05:12:38.111Z</x:v>
      </x:c>
      <x:c r="M730" s="7" t="str">
        <x:v>https://apm.activecommunities.com/portlandparks/Activity_Search/messy-art---celebrations-around-us/208404?locale=en-US</x:v>
      </x:c>
    </x:row>
    <x:row r="731" ht="38" customHeight="1">
      <x:c r="A731" s="8" t="str">
        <x:v>208405</x:v>
      </x:c>
      <x:c r="B731" s="11" t="str">
        <x:v>Messy Art - Celebrations around us</x:v>
      </x:c>
      <x:c r="C731" s="11" t="str">
        <x:v>Southwest Cmty Ctr</x:v>
      </x:c>
      <x:c r="D731" s="11" t="str">
        <x:v>Arts</x:v>
      </x:c>
      <x:c r="E731" s="8" t="str">
        <x:v>future</x:v>
      </x:c>
      <x:c r="F731" s="8" t="str">
        <x:v>2026-11-04</x:v>
      </x:c>
      <x:c r="G731" s="8" t="str">
        <x:v>2026-12-09</x:v>
      </x:c>
      <x:c r="H731" s="8" t="n">
        <x:v>0</x:v>
      </x:c>
      <x:c r="I731" s="8"/>
      <x:c r="J731" s="8" t="n">
        <x:v>10</x:v>
      </x:c>
      <x:c r="K731" s="8" t="str">
        <x:v>unverified-denominator</x:v>
      </x:c>
      <x:c r="L731" s="8" t="d">
        <x:v>2026-09-16T05:12:38.111Z</x:v>
      </x:c>
      <x:c r="M731" s="8" t="str">
        <x:v>https://apm.activecommunities.com/portlandparks/Activity_Search/messy-art---celebrations-around-us/208405?locale=en-US</x:v>
      </x:c>
    </x:row>
    <x:row r="732" ht="38" customHeight="1">
      <x:c r="A732" s="7" t="str">
        <x:v>207816</x:v>
      </x:c>
      <x:c r="B732" s="12" t="str">
        <x:v>Messy Art - Explorer: Exploring Fall</x:v>
      </x:c>
      <x:c r="C732" s="12" t="str">
        <x:v>East Portland Cmty Ctr</x:v>
      </x:c>
      <x:c r="D732" s="12" t="str">
        <x:v>Arts</x:v>
      </x:c>
      <x:c r="E732" s="7" t="str">
        <x:v>future</x:v>
      </x:c>
      <x:c r="F732" s="7" t="str">
        <x:v>2026-11-02</x:v>
      </x:c>
      <x:c r="G732" s="7" t="str">
        <x:v>2026-12-07</x:v>
      </x:c>
      <x:c r="H732" s="7" t="n">
        <x:v>0</x:v>
      </x:c>
      <x:c r="I732" s="7"/>
      <x:c r="J732" s="7" t="n">
        <x:v>14</x:v>
      </x:c>
      <x:c r="K732" s="7" t="str">
        <x:v>unverified-denominator</x:v>
      </x:c>
      <x:c r="L732" s="7" t="d">
        <x:v>2026-09-16T05:12:38.111Z</x:v>
      </x:c>
      <x:c r="M732" s="7" t="str">
        <x:v>https://apm.activecommunities.com/portlandparks/Activity_Search/messy-art---explorer-exploring-fall/207816?locale=en-US</x:v>
      </x:c>
    </x:row>
    <x:row r="733" ht="38" customHeight="1">
      <x:c r="A733" s="8" t="str">
        <x:v>207817</x:v>
      </x:c>
      <x:c r="B733" s="11" t="str">
        <x:v>Messy Art - Explorer: Exploring Fall</x:v>
      </x:c>
      <x:c r="C733" s="11" t="str">
        <x:v>East Portland Cmty Ctr</x:v>
      </x:c>
      <x:c r="D733" s="11" t="str">
        <x:v>Arts</x:v>
      </x:c>
      <x:c r="E733" s="8" t="str">
        <x:v>future</x:v>
      </x:c>
      <x:c r="F733" s="8" t="str">
        <x:v>2026-11-04</x:v>
      </x:c>
      <x:c r="G733" s="8" t="str">
        <x:v>2026-12-09</x:v>
      </x:c>
      <x:c r="H733" s="8" t="n">
        <x:v>0</x:v>
      </x:c>
      <x:c r="I733" s="8"/>
      <x:c r="J733" s="8" t="n">
        <x:v>14</x:v>
      </x:c>
      <x:c r="K733" s="8" t="str">
        <x:v>unverified-denominator</x:v>
      </x:c>
      <x:c r="L733" s="8" t="d">
        <x:v>2026-09-16T05:12:38.111Z</x:v>
      </x:c>
      <x:c r="M733" s="8" t="str">
        <x:v>https://apm.activecommunities.com/portlandparks/Activity_Search/messy-art---explorer-exploring-fall/207817?locale=en-US</x:v>
      </x:c>
    </x:row>
    <x:row r="734" ht="38" customHeight="1">
      <x:c r="A734" s="7" t="str">
        <x:v>207818</x:v>
      </x:c>
      <x:c r="B734" s="12" t="str">
        <x:v>Messy Art - Explorer: Exploring Fall</x:v>
      </x:c>
      <x:c r="C734" s="12" t="str">
        <x:v>East Portland Cmty Ctr</x:v>
      </x:c>
      <x:c r="D734" s="12" t="str">
        <x:v>Arts</x:v>
      </x:c>
      <x:c r="E734" s="7" t="str">
        <x:v>future</x:v>
      </x:c>
      <x:c r="F734" s="7" t="str">
        <x:v>2026-11-06</x:v>
      </x:c>
      <x:c r="G734" s="7" t="str">
        <x:v>2026-12-11</x:v>
      </x:c>
      <x:c r="H734" s="7" t="n">
        <x:v>0</x:v>
      </x:c>
      <x:c r="I734" s="7"/>
      <x:c r="J734" s="7" t="n">
        <x:v>14</x:v>
      </x:c>
      <x:c r="K734" s="7" t="str">
        <x:v>unverified-denominator</x:v>
      </x:c>
      <x:c r="L734" s="7" t="d">
        <x:v>2026-09-16T05:12:38.111Z</x:v>
      </x:c>
      <x:c r="M734" s="7" t="str">
        <x:v>https://apm.activecommunities.com/portlandparks/Activity_Search/messy-art---explorer-exploring-fall/207818?locale=en-US</x:v>
      </x:c>
    </x:row>
    <x:row r="735" ht="38" customHeight="1">
      <x:c r="A735" s="8" t="str">
        <x:v>207813</x:v>
      </x:c>
      <x:c r="B735" s="11" t="str">
        <x:v>Messy Art - Explorer: Exploring Spring</x:v>
      </x:c>
      <x:c r="C735" s="11" t="str">
        <x:v>East Portland Cmty Ctr</x:v>
      </x:c>
      <x:c r="D735" s="11" t="str">
        <x:v>Arts</x:v>
      </x:c>
      <x:c r="E735" s="8" t="str">
        <x:v>future</x:v>
      </x:c>
      <x:c r="F735" s="8" t="str">
        <x:v>2026-09-28</x:v>
      </x:c>
      <x:c r="G735" s="8" t="str">
        <x:v>2026-10-12</x:v>
      </x:c>
      <x:c r="H735" s="8" t="n">
        <x:v>6</x:v>
      </x:c>
      <x:c r="I735" s="8"/>
      <x:c r="J735" s="8" t="n">
        <x:v>14</x:v>
      </x:c>
      <x:c r="K735" s="8" t="str">
        <x:v>unverified-denominator</x:v>
      </x:c>
      <x:c r="L735" s="8" t="d">
        <x:v>2026-09-16T05:12:38.111Z</x:v>
      </x:c>
      <x:c r="M735" s="8" t="str">
        <x:v>https://apm.activecommunities.com/portlandparks/Activity_Search/messy-art---explorer-exploring-spring/207813?locale=en-US</x:v>
      </x:c>
    </x:row>
    <x:row r="736" ht="38" customHeight="1">
      <x:c r="A736" s="7" t="str">
        <x:v>207814</x:v>
      </x:c>
      <x:c r="B736" s="12" t="str">
        <x:v>Messy Art - Explorer: Exploring Spring</x:v>
      </x:c>
      <x:c r="C736" s="12" t="str">
        <x:v>East Portland Cmty Ctr</x:v>
      </x:c>
      <x:c r="D736" s="12" t="str">
        <x:v>Arts</x:v>
      </x:c>
      <x:c r="E736" s="7" t="str">
        <x:v>future</x:v>
      </x:c>
      <x:c r="F736" s="7" t="str">
        <x:v>2026-09-30</x:v>
      </x:c>
      <x:c r="G736" s="7" t="str">
        <x:v>2026-10-14</x:v>
      </x:c>
      <x:c r="H736" s="7" t="n">
        <x:v>4</x:v>
      </x:c>
      <x:c r="I736" s="7"/>
      <x:c r="J736" s="7" t="n">
        <x:v>14</x:v>
      </x:c>
      <x:c r="K736" s="7" t="str">
        <x:v>unverified-denominator</x:v>
      </x:c>
      <x:c r="L736" s="7" t="d">
        <x:v>2026-09-16T05:12:38.111Z</x:v>
      </x:c>
      <x:c r="M736" s="7" t="str">
        <x:v>https://apm.activecommunities.com/portlandparks/Activity_Search/messy-art---explorer-exploring-spring/207814?locale=en-US</x:v>
      </x:c>
    </x:row>
    <x:row r="737" ht="38" customHeight="1">
      <x:c r="A737" s="8" t="str">
        <x:v>207815</x:v>
      </x:c>
      <x:c r="B737" s="11" t="str">
        <x:v>Messy Art - Explorer: Exploring Spring</x:v>
      </x:c>
      <x:c r="C737" s="11" t="str">
        <x:v>East Portland Cmty Ctr</x:v>
      </x:c>
      <x:c r="D737" s="11" t="str">
        <x:v>Arts</x:v>
      </x:c>
      <x:c r="E737" s="8" t="str">
        <x:v>future</x:v>
      </x:c>
      <x:c r="F737" s="8" t="str">
        <x:v>2026-10-02</x:v>
      </x:c>
      <x:c r="G737" s="8" t="str">
        <x:v>2026-10-16</x:v>
      </x:c>
      <x:c r="H737" s="8" t="n">
        <x:v>3</x:v>
      </x:c>
      <x:c r="I737" s="8"/>
      <x:c r="J737" s="8" t="n">
        <x:v>14</x:v>
      </x:c>
      <x:c r="K737" s="8" t="str">
        <x:v>unverified-denominator</x:v>
      </x:c>
      <x:c r="L737" s="8" t="d">
        <x:v>2026-09-16T05:12:38.111Z</x:v>
      </x:c>
      <x:c r="M737" s="8" t="str">
        <x:v>https://apm.activecommunities.com/portlandparks/Activity_Search/messy-art---explorer-exploring-spring/207815?locale=en-US</x:v>
      </x:c>
    </x:row>
    <x:row r="738" ht="38" customHeight="1">
      <x:c r="A738" s="7" t="str">
        <x:v>209011</x:v>
      </x:c>
      <x:c r="B738" s="12" t="str">
        <x:v>Messy Art - Gifts Galore</x:v>
      </x:c>
      <x:c r="C738" s="12" t="str">
        <x:v>Mt Scott Cmty Ctr</x:v>
      </x:c>
      <x:c r="D738" s="12" t="str">
        <x:v>Arts</x:v>
      </x:c>
      <x:c r="E738" s="7" t="str">
        <x:v>undated</x:v>
      </x:c>
      <x:c r="F738" s="7" t="str">
        <x:v>2026-12-11</x:v>
      </x:c>
      <x:c r="G738" s="7" t="str"/>
      <x:c r="H738" s="7" t="n">
        <x:v>0</x:v>
      </x:c>
      <x:c r="I738" s="7"/>
      <x:c r="J738" s="7" t="n">
        <x:v>12</x:v>
      </x:c>
      <x:c r="K738" s="7" t="str">
        <x:v>unverified-denominator</x:v>
      </x:c>
      <x:c r="L738" s="7" t="d">
        <x:v>2026-09-16T05:12:38.111Z</x:v>
      </x:c>
      <x:c r="M738" s="7" t="str">
        <x:v>https://apm.activecommunities.com/portlandparks/Activity_Search/messy-art---gifts-galore/209011?locale=en-US</x:v>
      </x:c>
    </x:row>
    <x:row r="739" ht="38" customHeight="1">
      <x:c r="A739" s="8" t="str">
        <x:v>209012</x:v>
      </x:c>
      <x:c r="B739" s="11" t="str">
        <x:v>Messy Art - Gifts Galore</x:v>
      </x:c>
      <x:c r="C739" s="11" t="str">
        <x:v>Mt Scott Cmty Ctr</x:v>
      </x:c>
      <x:c r="D739" s="11" t="str">
        <x:v>Arts</x:v>
      </x:c>
      <x:c r="E739" s="8" t="str">
        <x:v>undated</x:v>
      </x:c>
      <x:c r="F739" s="8" t="str">
        <x:v>2026-12-11</x:v>
      </x:c>
      <x:c r="G739" s="8" t="str"/>
      <x:c r="H739" s="8" t="n">
        <x:v>0</x:v>
      </x:c>
      <x:c r="I739" s="8"/>
      <x:c r="J739" s="8" t="n">
        <x:v>12</x:v>
      </x:c>
      <x:c r="K739" s="8" t="str">
        <x:v>unverified-denominator</x:v>
      </x:c>
      <x:c r="L739" s="8" t="d">
        <x:v>2026-09-16T05:12:38.111Z</x:v>
      </x:c>
      <x:c r="M739" s="8" t="str">
        <x:v>https://apm.activecommunities.com/portlandparks/Activity_Search/messy-art---gifts-galore/209012?locale=en-US</x:v>
      </x:c>
    </x:row>
    <x:row r="740" ht="38" customHeight="1">
      <x:c r="A740" s="7" t="str">
        <x:v>208403</x:v>
      </x:c>
      <x:c r="B740" s="12" t="str">
        <x:v>Messy Art - Little Explorers</x:v>
      </x:c>
      <x:c r="C740" s="12" t="str">
        <x:v>Southwest Cmty Ctr</x:v>
      </x:c>
      <x:c r="D740" s="12" t="str">
        <x:v>Arts</x:v>
      </x:c>
      <x:c r="E740" s="7" t="str">
        <x:v>future</x:v>
      </x:c>
      <x:c r="F740" s="7" t="str">
        <x:v>2026-09-30</x:v>
      </x:c>
      <x:c r="G740" s="7" t="str">
        <x:v>2026-10-28</x:v>
      </x:c>
      <x:c r="H740" s="7" t="n">
        <x:v>5</x:v>
      </x:c>
      <x:c r="I740" s="7"/>
      <x:c r="J740" s="7" t="n">
        <x:v>10</x:v>
      </x:c>
      <x:c r="K740" s="7" t="str">
        <x:v>unverified-denominator</x:v>
      </x:c>
      <x:c r="L740" s="7" t="d">
        <x:v>2026-09-16T05:12:38.111Z</x:v>
      </x:c>
      <x:c r="M740" s="7" t="str">
        <x:v>https://apm.activecommunities.com/portlandparks/Activity_Search/messy-art---little-explorers/208403?locale=en-US</x:v>
      </x:c>
    </x:row>
    <x:row r="741" ht="38" customHeight="1">
      <x:c r="A741" s="8" t="str">
        <x:v>208401</x:v>
      </x:c>
      <x:c r="B741" s="11" t="str">
        <x:v>Messy Art - Little Explorers</x:v>
      </x:c>
      <x:c r="C741" s="11" t="str">
        <x:v>Southwest Cmty Ctr</x:v>
      </x:c>
      <x:c r="D741" s="11" t="str">
        <x:v>Arts</x:v>
      </x:c>
      <x:c r="E741" s="8" t="str">
        <x:v>future</x:v>
      </x:c>
      <x:c r="F741" s="8" t="str">
        <x:v>2026-09-30</x:v>
      </x:c>
      <x:c r="G741" s="8" t="str">
        <x:v>2026-10-28</x:v>
      </x:c>
      <x:c r="H741" s="8" t="n">
        <x:v>5</x:v>
      </x:c>
      <x:c r="I741" s="8"/>
      <x:c r="J741" s="8" t="n">
        <x:v>10</x:v>
      </x:c>
      <x:c r="K741" s="8" t="str">
        <x:v>unverified-denominator</x:v>
      </x:c>
      <x:c r="L741" s="8" t="d">
        <x:v>2026-09-16T05:12:38.111Z</x:v>
      </x:c>
      <x:c r="M741" s="8" t="str">
        <x:v>https://apm.activecommunities.com/portlandparks/Activity_Search/messy-art---little-explorers/208401?locale=en-US</x:v>
      </x:c>
    </x:row>
    <x:row r="742" ht="38" customHeight="1">
      <x:c r="A742" s="7" t="str">
        <x:v>208751</x:v>
      </x:c>
      <x:c r="B742" s="12" t="str">
        <x:v>Messy Art - Little Explorers</x:v>
      </x:c>
      <x:c r="C742" s="12" t="str">
        <x:v>St Johns Cmty Ctr</x:v>
      </x:c>
      <x:c r="D742" s="12" t="str">
        <x:v>Arts</x:v>
      </x:c>
      <x:c r="E742" s="7" t="str">
        <x:v>future</x:v>
      </x:c>
      <x:c r="F742" s="7" t="str">
        <x:v>2026-10-01</x:v>
      </x:c>
      <x:c r="G742" s="7" t="str">
        <x:v>2026-10-29</x:v>
      </x:c>
      <x:c r="H742" s="7" t="n">
        <x:v>1</x:v>
      </x:c>
      <x:c r="I742" s="7"/>
      <x:c r="J742" s="7" t="n">
        <x:v>8</x:v>
      </x:c>
      <x:c r="K742" s="7" t="str">
        <x:v>unverified-denominator</x:v>
      </x:c>
      <x:c r="L742" s="7" t="d">
        <x:v>2026-09-16T05:12:38.111Z</x:v>
      </x:c>
      <x:c r="M742" s="7" t="str">
        <x:v>https://apm.activecommunities.com/portlandparks/Activity_Search/messy-art---little-explorers/208751?locale=en-US</x:v>
      </x:c>
    </x:row>
    <x:row r="743" ht="38" customHeight="1">
      <x:c r="A743" s="8" t="str">
        <x:v>208755</x:v>
      </x:c>
      <x:c r="B743" s="11" t="str">
        <x:v>Messy Art - Little Explorers</x:v>
      </x:c>
      <x:c r="C743" s="11" t="str">
        <x:v>St Johns Cmty Ctr</x:v>
      </x:c>
      <x:c r="D743" s="11" t="str">
        <x:v>Arts</x:v>
      </x:c>
      <x:c r="E743" s="8" t="str">
        <x:v>future</x:v>
      </x:c>
      <x:c r="F743" s="8" t="str">
        <x:v>2026-11-12</x:v>
      </x:c>
      <x:c r="G743" s="8" t="str">
        <x:v>2026-12-10</x:v>
      </x:c>
      <x:c r="H743" s="8" t="n">
        <x:v>0</x:v>
      </x:c>
      <x:c r="I743" s="8"/>
      <x:c r="J743" s="8" t="n">
        <x:v>8</x:v>
      </x:c>
      <x:c r="K743" s="8" t="str">
        <x:v>unverified-denominator</x:v>
      </x:c>
      <x:c r="L743" s="8" t="d">
        <x:v>2026-09-16T05:12:38.111Z</x:v>
      </x:c>
      <x:c r="M743" s="8" t="str">
        <x:v>https://apm.activecommunities.com/portlandparks/Activity_Search/messy-art---little-explorers/208755?locale=en-US</x:v>
      </x:c>
    </x:row>
    <x:row r="744" ht="38" customHeight="1">
      <x:c r="A744" s="7" t="str">
        <x:v>207923</x:v>
      </x:c>
      <x:c r="B744" s="12" t="str">
        <x:v>Messy Art - Little Picassos</x:v>
      </x:c>
      <x:c r="C744" s="12" t="str">
        <x:v>Montavilla Cmty Ctr</x:v>
      </x:c>
      <x:c r="D744" s="12" t="str">
        <x:v>Arts</x:v>
      </x:c>
      <x:c r="E744" s="7" t="str">
        <x:v>future</x:v>
      </x:c>
      <x:c r="F744" s="7" t="str">
        <x:v>2026-10-03</x:v>
      </x:c>
      <x:c r="G744" s="7" t="str">
        <x:v>2026-10-31</x:v>
      </x:c>
      <x:c r="H744" s="7" t="n">
        <x:v>1</x:v>
      </x:c>
      <x:c r="I744" s="7"/>
      <x:c r="J744" s="7" t="n">
        <x:v>11</x:v>
      </x:c>
      <x:c r="K744" s="7" t="str">
        <x:v>unverified-denominator</x:v>
      </x:c>
      <x:c r="L744" s="7" t="d">
        <x:v>2026-09-16T05:12:38.111Z</x:v>
      </x:c>
      <x:c r="M744" s="7" t="str">
        <x:v>https://apm.activecommunities.com/portlandparks/Activity_Search/messy-art---little-picassos/207923?locale=en-US</x:v>
      </x:c>
    </x:row>
    <x:row r="745" ht="38" customHeight="1">
      <x:c r="A745" s="8" t="str">
        <x:v>207926</x:v>
      </x:c>
      <x:c r="B745" s="11" t="str">
        <x:v>Messy Art - Little Picassos</x:v>
      </x:c>
      <x:c r="C745" s="11" t="str">
        <x:v>Montavilla Cmty Ctr</x:v>
      </x:c>
      <x:c r="D745" s="11" t="str">
        <x:v>Arts</x:v>
      </x:c>
      <x:c r="E745" s="8" t="str">
        <x:v>future</x:v>
      </x:c>
      <x:c r="F745" s="8" t="str">
        <x:v>2026-11-07</x:v>
      </x:c>
      <x:c r="G745" s="8" t="str">
        <x:v>2026-12-12</x:v>
      </x:c>
      <x:c r="H745" s="8" t="n">
        <x:v>0</x:v>
      </x:c>
      <x:c r="I745" s="8"/>
      <x:c r="J745" s="8" t="n">
        <x:v>11</x:v>
      </x:c>
      <x:c r="K745" s="8" t="str">
        <x:v>unverified-denominator</x:v>
      </x:c>
      <x:c r="L745" s="8" t="d">
        <x:v>2026-09-16T05:12:38.111Z</x:v>
      </x:c>
      <x:c r="M745" s="8" t="str">
        <x:v>https://apm.activecommunities.com/portlandparks/Activity_Search/messy-art---little-picassos/207926?locale=en-US</x:v>
      </x:c>
    </x:row>
    <x:row r="746" ht="38" customHeight="1">
      <x:c r="A746" s="7" t="str">
        <x:v>204335</x:v>
      </x:c>
      <x:c r="B746" s="12" t="str">
        <x:v>Messy Art - Little Picassos</x:v>
      </x:c>
      <x:c r="C746" s="12" t="str">
        <x:v>Montavilla Cmty Ctr</x:v>
      </x:c>
      <x:c r="D746" s="12" t="str">
        <x:v>Arts</x:v>
      </x:c>
      <x:c r="E746" s="7" t="str">
        <x:v>active</x:v>
      </x:c>
      <x:c r="F746" s="7" t="str">
        <x:v>2026-09-05</x:v>
      </x:c>
      <x:c r="G746" s="7" t="str">
        <x:v>2026-09-26</x:v>
      </x:c>
      <x:c r="H746" s="7" t="n">
        <x:v>11</x:v>
      </x:c>
      <x:c r="I746" s="7" t="n">
        <x:v>4</x:v>
      </x:c>
      <x:c r="J746" s="7" t="n">
        <x:v>11</x:v>
      </x:c>
      <x:c r="K746" s="7" t="str">
        <x:v>unverified-denominator</x:v>
      </x:c>
      <x:c r="L746" s="7" t="d">
        <x:v>2026-09-16T05:12:38.111Z</x:v>
      </x:c>
      <x:c r="M746" s="7" t="str">
        <x:v>https://apm.activecommunities.com/portlandparks/Activity_Search/messy-art---little-picassos/204335?locale=en-US</x:v>
      </x:c>
    </x:row>
    <x:row r="747" ht="38" customHeight="1">
      <x:c r="A747" s="8" t="str">
        <x:v>201957</x:v>
      </x:c>
      <x:c r="B747" s="11" t="str">
        <x:v>Messy Art - Magic &amp; Make-believe</x:v>
      </x:c>
      <x:c r="C747" s="11" t="str">
        <x:v>Peninsula Park Cmty Ctr</x:v>
      </x:c>
      <x:c r="D747" s="11" t="str">
        <x:v>Arts</x:v>
      </x:c>
      <x:c r="E747" s="8" t="str">
        <x:v>active</x:v>
      </x:c>
      <x:c r="F747" s="8" t="str">
        <x:v>2026-09-03</x:v>
      </x:c>
      <x:c r="G747" s="8" t="str">
        <x:v>2026-09-24</x:v>
      </x:c>
      <x:c r="H747" s="8" t="n">
        <x:v>10</x:v>
      </x:c>
      <x:c r="I747" s="8" t="n">
        <x:v>1</x:v>
      </x:c>
      <x:c r="J747" s="8" t="n">
        <x:v>10</x:v>
      </x:c>
      <x:c r="K747" s="8" t="str">
        <x:v>unverified-denominator</x:v>
      </x:c>
      <x:c r="L747" s="8" t="d">
        <x:v>2026-09-16T05:12:38.111Z</x:v>
      </x:c>
      <x:c r="M747" s="8" t="str">
        <x:v>https://apm.activecommunities.com/portlandparks/Activity_Search/messy-art---magic-make-believe/201957?locale=en-US</x:v>
      </x:c>
    </x:row>
    <x:row r="748" ht="38" customHeight="1">
      <x:c r="A748" s="7" t="str">
        <x:v>209002</x:v>
      </x:c>
      <x:c r="B748" s="12" t="str">
        <x:v>Messy Art - Magical Messes</x:v>
      </x:c>
      <x:c r="C748" s="12" t="str">
        <x:v>Mt Scott Cmty Ctr</x:v>
      </x:c>
      <x:c r="D748" s="12" t="str">
        <x:v>Arts</x:v>
      </x:c>
      <x:c r="E748" s="7" t="str">
        <x:v>future</x:v>
      </x:c>
      <x:c r="F748" s="7" t="str">
        <x:v>2026-11-08</x:v>
      </x:c>
      <x:c r="G748" s="7" t="str">
        <x:v>2026-12-13</x:v>
      </x:c>
      <x:c r="H748" s="7" t="n">
        <x:v>0</x:v>
      </x:c>
      <x:c r="I748" s="7"/>
      <x:c r="J748" s="7" t="n">
        <x:v>12</x:v>
      </x:c>
      <x:c r="K748" s="7" t="str">
        <x:v>unverified-denominator</x:v>
      </x:c>
      <x:c r="L748" s="7" t="d">
        <x:v>2026-09-16T05:12:38.111Z</x:v>
      </x:c>
      <x:c r="M748" s="7" t="str">
        <x:v>https://apm.activecommunities.com/portlandparks/Activity_Search/messy-art---magical-messes/209002?locale=en-US</x:v>
      </x:c>
    </x:row>
    <x:row r="749" ht="38" customHeight="1">
      <x:c r="A749" s="8" t="str">
        <x:v>204336</x:v>
      </x:c>
      <x:c r="B749" s="11" t="str">
        <x:v>Messy Art - Messy Masterpieces</x:v>
      </x:c>
      <x:c r="C749" s="11" t="str">
        <x:v>Montavilla Cmty Ctr</x:v>
      </x:c>
      <x:c r="D749" s="11" t="str">
        <x:v>Arts</x:v>
      </x:c>
      <x:c r="E749" s="8" t="str">
        <x:v>active</x:v>
      </x:c>
      <x:c r="F749" s="8" t="str">
        <x:v>2026-09-05</x:v>
      </x:c>
      <x:c r="G749" s="8" t="str">
        <x:v>2026-09-26</x:v>
      </x:c>
      <x:c r="H749" s="8" t="n">
        <x:v>12</x:v>
      </x:c>
      <x:c r="I749" s="8"/>
      <x:c r="J749" s="8" t="n">
        <x:v>12</x:v>
      </x:c>
      <x:c r="K749" s="8" t="str">
        <x:v>unverified-denominator</x:v>
      </x:c>
      <x:c r="L749" s="8" t="d">
        <x:v>2026-09-16T05:12:38.111Z</x:v>
      </x:c>
      <x:c r="M749" s="8" t="str">
        <x:v>https://apm.activecommunities.com/portlandparks/Activity_Search/messy-art---messy-masterpieces/204336?locale=en-US</x:v>
      </x:c>
    </x:row>
    <x:row r="750" ht="38" customHeight="1">
      <x:c r="A750" s="7" t="str">
        <x:v>207927</x:v>
      </x:c>
      <x:c r="B750" s="12" t="str">
        <x:v>Messy Art - Messy Masterpieces</x:v>
      </x:c>
      <x:c r="C750" s="12" t="str">
        <x:v>Montavilla Cmty Ctr</x:v>
      </x:c>
      <x:c r="D750" s="12" t="str">
        <x:v>Arts</x:v>
      </x:c>
      <x:c r="E750" s="7" t="str">
        <x:v>future</x:v>
      </x:c>
      <x:c r="F750" s="7" t="str">
        <x:v>2026-11-07</x:v>
      </x:c>
      <x:c r="G750" s="7" t="str">
        <x:v>2026-12-12</x:v>
      </x:c>
      <x:c r="H750" s="7" t="n">
        <x:v>0</x:v>
      </x:c>
      <x:c r="I750" s="7"/>
      <x:c r="J750" s="7" t="n">
        <x:v>12</x:v>
      </x:c>
      <x:c r="K750" s="7" t="str">
        <x:v>unverified-denominator</x:v>
      </x:c>
      <x:c r="L750" s="7" t="d">
        <x:v>2026-09-16T05:12:38.111Z</x:v>
      </x:c>
      <x:c r="M750" s="7" t="str">
        <x:v>https://apm.activecommunities.com/portlandparks/Activity_Search/messy-art---messy-masterpieces/207927?locale=en-US</x:v>
      </x:c>
    </x:row>
    <x:row r="751" ht="38" customHeight="1">
      <x:c r="A751" s="8" t="str">
        <x:v>207924</x:v>
      </x:c>
      <x:c r="B751" s="11" t="str">
        <x:v>Messy Art - Messy Masterpieces</x:v>
      </x:c>
      <x:c r="C751" s="11" t="str">
        <x:v>Montavilla Cmty Ctr</x:v>
      </x:c>
      <x:c r="D751" s="11" t="str">
        <x:v>Arts</x:v>
      </x:c>
      <x:c r="E751" s="8" t="str">
        <x:v>future</x:v>
      </x:c>
      <x:c r="F751" s="8" t="str">
        <x:v>2026-10-03</x:v>
      </x:c>
      <x:c r="G751" s="8" t="str">
        <x:v>2026-10-31</x:v>
      </x:c>
      <x:c r="H751" s="8" t="n">
        <x:v>2</x:v>
      </x:c>
      <x:c r="I751" s="8"/>
      <x:c r="J751" s="8" t="n">
        <x:v>12</x:v>
      </x:c>
      <x:c r="K751" s="8" t="str">
        <x:v>unverified-denominator</x:v>
      </x:c>
      <x:c r="L751" s="8" t="d">
        <x:v>2026-09-16T05:12:38.111Z</x:v>
      </x:c>
      <x:c r="M751" s="8" t="str">
        <x:v>https://apm.activecommunities.com/portlandparks/Activity_Search/messy-art---messy-masterpieces/207924?locale=en-US</x:v>
      </x:c>
    </x:row>
    <x:row r="752" ht="38" customHeight="1">
      <x:c r="A752" s="7" t="str">
        <x:v>208412</x:v>
      </x:c>
      <x:c r="B752" s="12" t="str">
        <x:v>Messy Art - Messy Merrymakers</x:v>
      </x:c>
      <x:c r="C752" s="12" t="str">
        <x:v>Peninsula Park Cmty Ctr</x:v>
      </x:c>
      <x:c r="D752" s="12" t="str">
        <x:v>Arts</x:v>
      </x:c>
      <x:c r="E752" s="7" t="str">
        <x:v>future</x:v>
      </x:c>
      <x:c r="F752" s="7" t="str">
        <x:v>2026-11-12</x:v>
      </x:c>
      <x:c r="G752" s="7" t="str">
        <x:v>2026-12-10</x:v>
      </x:c>
      <x:c r="H752" s="7" t="n">
        <x:v>0</x:v>
      </x:c>
      <x:c r="I752" s="7"/>
      <x:c r="J752" s="7" t="n">
        <x:v>10</x:v>
      </x:c>
      <x:c r="K752" s="7" t="str">
        <x:v>unverified-denominator</x:v>
      </x:c>
      <x:c r="L752" s="7" t="d">
        <x:v>2026-09-16T05:12:38.111Z</x:v>
      </x:c>
      <x:c r="M752" s="7" t="str">
        <x:v>https://apm.activecommunities.com/portlandparks/Activity_Search/messy-art---messy-merrymakers/208412?locale=en-US</x:v>
      </x:c>
    </x:row>
    <x:row r="753" ht="38" customHeight="1">
      <x:c r="A753" s="8" t="str">
        <x:v>208423</x:v>
      </x:c>
      <x:c r="B753" s="11" t="str">
        <x:v>Messy Art - Messy Merrymakers</x:v>
      </x:c>
      <x:c r="C753" s="11" t="str">
        <x:v>Peninsula Park Cmty Ctr</x:v>
      </x:c>
      <x:c r="D753" s="11" t="str">
        <x:v>Arts</x:v>
      </x:c>
      <x:c r="E753" s="8" t="str">
        <x:v>future</x:v>
      </x:c>
      <x:c r="F753" s="8" t="str">
        <x:v>2026-11-12</x:v>
      </x:c>
      <x:c r="G753" s="8" t="str">
        <x:v>2026-12-10</x:v>
      </x:c>
      <x:c r="H753" s="8" t="n">
        <x:v>0</x:v>
      </x:c>
      <x:c r="I753" s="8"/>
      <x:c r="J753" s="8" t="n">
        <x:v>10</x:v>
      </x:c>
      <x:c r="K753" s="8" t="str">
        <x:v>unverified-denominator</x:v>
      </x:c>
      <x:c r="L753" s="8" t="d">
        <x:v>2026-09-16T05:12:38.111Z</x:v>
      </x:c>
      <x:c r="M753" s="8" t="str">
        <x:v>https://apm.activecommunities.com/portlandparks/Activity_Search/messy-art---messy-merrymakers/208423?locale=en-US</x:v>
      </x:c>
    </x:row>
    <x:row r="754" ht="38" customHeight="1">
      <x:c r="A754" s="7" t="str">
        <x:v>208408</x:v>
      </x:c>
      <x:c r="B754" s="12" t="str">
        <x:v>Messy Art - Messy Monsters</x:v>
      </x:c>
      <x:c r="C754" s="12" t="str">
        <x:v>Peninsula Park Cmty Ctr</x:v>
      </x:c>
      <x:c r="D754" s="12" t="str">
        <x:v>Arts</x:v>
      </x:c>
      <x:c r="E754" s="7" t="str">
        <x:v>future</x:v>
      </x:c>
      <x:c r="F754" s="7" t="str">
        <x:v>2026-10-01</x:v>
      </x:c>
      <x:c r="G754" s="7" t="str">
        <x:v>2026-10-29</x:v>
      </x:c>
      <x:c r="H754" s="7" t="n">
        <x:v>10</x:v>
      </x:c>
      <x:c r="I754" s="7"/>
      <x:c r="J754" s="7" t="n">
        <x:v>10</x:v>
      </x:c>
      <x:c r="K754" s="7" t="str">
        <x:v>unverified-denominator</x:v>
      </x:c>
      <x:c r="L754" s="7" t="d">
        <x:v>2026-09-16T05:12:38.111Z</x:v>
      </x:c>
      <x:c r="M754" s="7" t="str">
        <x:v>https://apm.activecommunities.com/portlandparks/Activity_Search/messy-art---messy-monsters/208408?locale=en-US</x:v>
      </x:c>
    </x:row>
    <x:row r="755" ht="38" customHeight="1">
      <x:c r="A755" s="8" t="str">
        <x:v>208409</x:v>
      </x:c>
      <x:c r="B755" s="11" t="str">
        <x:v>Messy Art - Messy Monsters</x:v>
      </x:c>
      <x:c r="C755" s="11" t="str">
        <x:v>Peninsula Park Cmty Ctr</x:v>
      </x:c>
      <x:c r="D755" s="11" t="str">
        <x:v>Arts</x:v>
      </x:c>
      <x:c r="E755" s="8" t="str">
        <x:v>future</x:v>
      </x:c>
      <x:c r="F755" s="8" t="str">
        <x:v>2026-10-01</x:v>
      </x:c>
      <x:c r="G755" s="8" t="str">
        <x:v>2026-10-29</x:v>
      </x:c>
      <x:c r="H755" s="8" t="n">
        <x:v>2</x:v>
      </x:c>
      <x:c r="I755" s="8"/>
      <x:c r="J755" s="8" t="n">
        <x:v>10</x:v>
      </x:c>
      <x:c r="K755" s="8" t="str">
        <x:v>unverified-denominator</x:v>
      </x:c>
      <x:c r="L755" s="8" t="d">
        <x:v>2026-09-16T05:12:38.111Z</x:v>
      </x:c>
      <x:c r="M755" s="8" t="str">
        <x:v>https://apm.activecommunities.com/portlandparks/Activity_Search/messy-art---messy-monsters/208409?locale=en-US</x:v>
      </x:c>
    </x:row>
    <x:row r="756" ht="38" customHeight="1">
      <x:c r="A756" s="7" t="str">
        <x:v>208992</x:v>
      </x:c>
      <x:c r="B756" s="12" t="str">
        <x:v>Messy Art - Pumpkin Party</x:v>
      </x:c>
      <x:c r="C756" s="12" t="str">
        <x:v>Mt Scott Cmty Ctr</x:v>
      </x:c>
      <x:c r="D756" s="12" t="str">
        <x:v>Arts</x:v>
      </x:c>
      <x:c r="E756" s="7" t="str">
        <x:v>undated</x:v>
      </x:c>
      <x:c r="F756" s="7" t="str">
        <x:v>2026-10-23</x:v>
      </x:c>
      <x:c r="G756" s="7" t="str"/>
      <x:c r="H756" s="7" t="n">
        <x:v>12</x:v>
      </x:c>
      <x:c r="I756" s="7"/>
      <x:c r="J756" s="7" t="n">
        <x:v>12</x:v>
      </x:c>
      <x:c r="K756" s="7" t="str">
        <x:v>unverified-denominator</x:v>
      </x:c>
      <x:c r="L756" s="7" t="d">
        <x:v>2026-09-16T05:12:38.111Z</x:v>
      </x:c>
      <x:c r="M756" s="7" t="str">
        <x:v>https://apm.activecommunities.com/portlandparks/Activity_Search/messy-art---pumpkin-party/208992?locale=en-US</x:v>
      </x:c>
    </x:row>
    <x:row r="757" ht="38" customHeight="1">
      <x:c r="A757" s="8" t="str">
        <x:v>209001</x:v>
      </x:c>
      <x:c r="B757" s="11" t="str">
        <x:v>Messy Art - Spooky Splatters</x:v>
      </x:c>
      <x:c r="C757" s="11" t="str">
        <x:v>Mt Scott Cmty Ctr</x:v>
      </x:c>
      <x:c r="D757" s="11" t="str">
        <x:v>Arts</x:v>
      </x:c>
      <x:c r="E757" s="8" t="str">
        <x:v>future</x:v>
      </x:c>
      <x:c r="F757" s="8" t="str">
        <x:v>2026-10-11</x:v>
      </x:c>
      <x:c r="G757" s="8" t="str">
        <x:v>2026-11-01</x:v>
      </x:c>
      <x:c r="H757" s="8" t="n">
        <x:v>12</x:v>
      </x:c>
      <x:c r="I757" s="8"/>
      <x:c r="J757" s="8" t="n">
        <x:v>12</x:v>
      </x:c>
      <x:c r="K757" s="8" t="str">
        <x:v>unverified-denominator</x:v>
      </x:c>
      <x:c r="L757" s="8" t="d">
        <x:v>2026-09-16T05:12:38.111Z</x:v>
      </x:c>
      <x:c r="M757" s="8" t="str">
        <x:v>https://apm.activecommunities.com/portlandparks/Activity_Search/messy-art---spooky-splatters/209001?locale=en-US</x:v>
      </x:c>
    </x:row>
    <x:row r="758" ht="38" customHeight="1">
      <x:c r="A758" s="7" t="str">
        <x:v>201875</x:v>
      </x:c>
      <x:c r="B758" s="12" t="str">
        <x:v>Metro Movers D -  Latourell Falls</x:v>
      </x:c>
      <x:c r="C758" s="12" t="str">
        <x:v>N/A</x:v>
      </x:c>
      <x:c r="D758" s="12" t="str">
        <x:v>Hiking &amp; Walking</x:v>
      </x:c>
      <x:c r="E758" s="7" t="str">
        <x:v>undated</x:v>
      </x:c>
      <x:c r="F758" s="7" t="str">
        <x:v>2026-09-25</x:v>
      </x:c>
      <x:c r="G758" s="7" t="str"/>
      <x:c r="H758" s="7" t="n">
        <x:v>11</x:v>
      </x:c>
      <x:c r="I758" s="7"/>
      <x:c r="J758" s="7" t="n">
        <x:v>35</x:v>
      </x:c>
      <x:c r="K758" s="7" t="str">
        <x:v>unverified-denominator</x:v>
      </x:c>
      <x:c r="L758" s="7" t="d">
        <x:v>2026-09-16T05:12:38.111Z</x:v>
      </x:c>
      <x:c r="M758" s="7" t="str">
        <x:v>https://apm.activecommunities.com/portlandparks/Activity_Search/metro-movers-d---latourell-falls/201875?locale=en-US</x:v>
      </x:c>
    </x:row>
    <x:row r="759" ht="38" customHeight="1">
      <x:c r="A759" s="8" t="str">
        <x:v>208314</x:v>
      </x:c>
      <x:c r="B759" s="11" t="str">
        <x:v>Metro Movers D - Alameda Ridge Loop &amp; Stairs</x:v>
      </x:c>
      <x:c r="C759" s="11" t="str">
        <x:v>N/A</x:v>
      </x:c>
      <x:c r="D759" s="11" t="str">
        <x:v>Hiking &amp; Walking</x:v>
      </x:c>
      <x:c r="E759" s="8" t="str">
        <x:v>undated</x:v>
      </x:c>
      <x:c r="F759" s="8" t="str">
        <x:v>2026-11-20</x:v>
      </x:c>
      <x:c r="G759" s="8" t="str"/>
      <x:c r="H759" s="8" t="n">
        <x:v>0</x:v>
      </x:c>
      <x:c r="I759" s="8"/>
      <x:c r="J759" s="8" t="n">
        <x:v>35</x:v>
      </x:c>
      <x:c r="K759" s="8" t="str">
        <x:v>unverified-denominator</x:v>
      </x:c>
      <x:c r="L759" s="8" t="d">
        <x:v>2026-09-16T05:12:38.111Z</x:v>
      </x:c>
      <x:c r="M759" s="8" t="str">
        <x:v>https://apm.activecommunities.com/portlandparks/Activity_Search/metro-movers-d---alameda-ridge-loop-stairs/208314?locale=en-US</x:v>
      </x:c>
    </x:row>
    <x:row r="760" ht="38" customHeight="1">
      <x:c r="A760" s="7" t="str">
        <x:v>201855</x:v>
      </x:c>
      <x:c r="B760" s="12" t="str">
        <x:v>Metro Movers D - Firelane 7/Wildwood/ Springville Road Loop</x:v>
      </x:c>
      <x:c r="C760" s="12" t="str">
        <x:v>N/A</x:v>
      </x:c>
      <x:c r="D760" s="12" t="str">
        <x:v>Hiking &amp; Walking</x:v>
      </x:c>
      <x:c r="E760" s="7" t="str">
        <x:v>undated</x:v>
      </x:c>
      <x:c r="F760" s="7" t="str">
        <x:v>2026-09-21</x:v>
      </x:c>
      <x:c r="G760" s="7" t="str"/>
      <x:c r="H760" s="7" t="n">
        <x:v>7</x:v>
      </x:c>
      <x:c r="I760" s="7"/>
      <x:c r="J760" s="7" t="n">
        <x:v>35</x:v>
      </x:c>
      <x:c r="K760" s="7" t="str">
        <x:v>unverified-denominator</x:v>
      </x:c>
      <x:c r="L760" s="7" t="d">
        <x:v>2026-09-16T05:12:38.111Z</x:v>
      </x:c>
      <x:c r="M760" s="7" t="str">
        <x:v>https://apm.activecommunities.com/portlandparks/Activity_Search/metro-movers-d---firelane-7-wildwood-springville-road-loop/201855?locale=en-US</x:v>
      </x:c>
    </x:row>
    <x:row r="761" ht="38" customHeight="1">
      <x:c r="A761" s="8" t="str">
        <x:v>208303</x:v>
      </x:c>
      <x:c r="B761" s="11" t="str">
        <x:v>Metro Movers E - Cook Park/Tualatin River Greenway</x:v>
      </x:c>
      <x:c r="C761" s="11" t="str">
        <x:v>N/A</x:v>
      </x:c>
      <x:c r="D761" s="11" t="str">
        <x:v>Hiking &amp; Walking</x:v>
      </x:c>
      <x:c r="E761" s="8" t="str">
        <x:v>undated</x:v>
      </x:c>
      <x:c r="F761" s="8" t="str">
        <x:v>2026-10-19</x:v>
      </x:c>
      <x:c r="G761" s="8" t="str"/>
      <x:c r="H761" s="8" t="n">
        <x:v>8</x:v>
      </x:c>
      <x:c r="I761" s="8"/>
      <x:c r="J761" s="8" t="n">
        <x:v>35</x:v>
      </x:c>
      <x:c r="K761" s="8" t="str">
        <x:v>unverified-denominator</x:v>
      </x:c>
      <x:c r="L761" s="8" t="d">
        <x:v>2026-09-16T05:12:38.111Z</x:v>
      </x:c>
      <x:c r="M761" s="8" t="str">
        <x:v>https://apm.activecommunities.com/portlandparks/Activity_Search/metro-movers-e---cook-park-tualatin-river-greenway/208303?locale=en-US</x:v>
      </x:c>
    </x:row>
    <x:row r="762" ht="38" customHeight="1">
      <x:c r="A762" s="7" t="str">
        <x:v>208307</x:v>
      </x:c>
      <x:c r="B762" s="12" t="str">
        <x:v>Metro Movers E - Downtown Gresham Art and Nature Walk</x:v>
      </x:c>
      <x:c r="C762" s="12" t="str">
        <x:v>N/A</x:v>
      </x:c>
      <x:c r="D762" s="12" t="str">
        <x:v>Hiking &amp; Walking</x:v>
      </x:c>
      <x:c r="E762" s="7" t="str">
        <x:v>undated</x:v>
      </x:c>
      <x:c r="F762" s="7" t="str">
        <x:v>2026-11-16</x:v>
      </x:c>
      <x:c r="G762" s="7" t="str"/>
      <x:c r="H762" s="7" t="n">
        <x:v>0</x:v>
      </x:c>
      <x:c r="I762" s="7"/>
      <x:c r="J762" s="7" t="n">
        <x:v>35</x:v>
      </x:c>
      <x:c r="K762" s="7" t="str">
        <x:v>unverified-denominator</x:v>
      </x:c>
      <x:c r="L762" s="7" t="d">
        <x:v>2026-09-16T05:12:38.111Z</x:v>
      </x:c>
      <x:c r="M762" s="7" t="str">
        <x:v>https://apm.activecommunities.com/portlandparks/Activity_Search/metro-movers-e---downtown-gresham-art-and-nature-walk/208307?locale=en-US</x:v>
      </x:c>
    </x:row>
    <x:row r="763" ht="38" customHeight="1">
      <x:c r="A763" s="8" t="str">
        <x:v>208313</x:v>
      </x:c>
      <x:c r="B763" s="11" t="str">
        <x:v>Metro Movers E - Fort Vancouver to Waterfront Park</x:v>
      </x:c>
      <x:c r="C763" s="11" t="str">
        <x:v>N/A</x:v>
      </x:c>
      <x:c r="D763" s="11" t="str">
        <x:v>Hiking &amp; Walking</x:v>
      </x:c>
      <x:c r="E763" s="8" t="str">
        <x:v>undated</x:v>
      </x:c>
      <x:c r="F763" s="8" t="str">
        <x:v>2026-11-13</x:v>
      </x:c>
      <x:c r="G763" s="8" t="str"/>
      <x:c r="H763" s="8" t="n">
        <x:v>0</x:v>
      </x:c>
      <x:c r="I763" s="8"/>
      <x:c r="J763" s="8" t="n">
        <x:v>35</x:v>
      </x:c>
      <x:c r="K763" s="8" t="str">
        <x:v>unverified-denominator</x:v>
      </x:c>
      <x:c r="L763" s="8" t="d">
        <x:v>2026-09-16T05:12:38.111Z</x:v>
      </x:c>
      <x:c r="M763" s="8" t="str">
        <x:v>https://apm.activecommunities.com/portlandparks/Activity_Search/metro-movers-e---fort-vancouver-to-waterfront-park/208313?locale=en-US</x:v>
      </x:c>
    </x:row>
    <x:row r="764" ht="38" customHeight="1">
      <x:c r="A764" s="7" t="str">
        <x:v>208302</x:v>
      </x:c>
      <x:c r="B764" s="12" t="str">
        <x:v>Metro Movers E - Lacamas Lake Heritage Trail</x:v>
      </x:c>
      <x:c r="C764" s="12" t="str">
        <x:v>N/A</x:v>
      </x:c>
      <x:c r="D764" s="12" t="str">
        <x:v>Hiking &amp; Walking</x:v>
      </x:c>
      <x:c r="E764" s="7" t="str">
        <x:v>undated</x:v>
      </x:c>
      <x:c r="F764" s="7" t="str">
        <x:v>2026-10-05</x:v>
      </x:c>
      <x:c r="G764" s="7" t="str"/>
      <x:c r="H764" s="7" t="n">
        <x:v>9</x:v>
      </x:c>
      <x:c r="I764" s="7"/>
      <x:c r="J764" s="7" t="n">
        <x:v>35</x:v>
      </x:c>
      <x:c r="K764" s="7" t="str">
        <x:v>unverified-denominator</x:v>
      </x:c>
      <x:c r="L764" s="7" t="d">
        <x:v>2026-09-16T05:12:38.111Z</x:v>
      </x:c>
      <x:c r="M764" s="7" t="str">
        <x:v>https://apm.activecommunities.com/portlandparks/Activity_Search/metro-movers-e---lacamas-lake-heritage-trail/208302?locale=en-US</x:v>
      </x:c>
    </x:row>
    <x:row r="765" ht="38" customHeight="1">
      <x:c r="A765" s="8" t="str">
        <x:v>208311</x:v>
      </x:c>
      <x:c r="B765" s="11" t="str">
        <x:v>Metro Movers E - Leverich Park</x:v>
      </x:c>
      <x:c r="C765" s="11" t="str">
        <x:v>N/A</x:v>
      </x:c>
      <x:c r="D765" s="11" t="str">
        <x:v>Hiking &amp; Walking</x:v>
      </x:c>
      <x:c r="E765" s="8" t="str">
        <x:v>undated</x:v>
      </x:c>
      <x:c r="F765" s="8" t="str">
        <x:v>2026-10-30</x:v>
      </x:c>
      <x:c r="G765" s="8" t="str"/>
      <x:c r="H765" s="8" t="n">
        <x:v>11</x:v>
      </x:c>
      <x:c r="I765" s="8"/>
      <x:c r="J765" s="8" t="n">
        <x:v>35</x:v>
      </x:c>
      <x:c r="K765" s="8" t="str">
        <x:v>unverified-denominator</x:v>
      </x:c>
      <x:c r="L765" s="8" t="d">
        <x:v>2026-09-16T05:12:38.111Z</x:v>
      </x:c>
      <x:c r="M765" s="8" t="str">
        <x:v>https://apm.activecommunities.com/portlandparks/Activity_Search/metro-movers-e---leverich-park/208311?locale=en-US</x:v>
      </x:c>
    </x:row>
    <x:row r="766" ht="38" customHeight="1">
      <x:c r="A766" s="7" t="str">
        <x:v>208309</x:v>
      </x:c>
      <x:c r="B766" s="12" t="str">
        <x:v>Metro Movers E - Trolley Trail Milwaukie</x:v>
      </x:c>
      <x:c r="C766" s="12" t="str">
        <x:v>N/A</x:v>
      </x:c>
      <x:c r="D766" s="12" t="str">
        <x:v>Hiking &amp; Walking</x:v>
      </x:c>
      <x:c r="E766" s="7" t="str">
        <x:v>undated</x:v>
      </x:c>
      <x:c r="F766" s="7" t="str">
        <x:v>2026-10-16</x:v>
      </x:c>
      <x:c r="G766" s="7" t="str"/>
      <x:c r="H766" s="7" t="n">
        <x:v>12</x:v>
      </x:c>
      <x:c r="I766" s="7"/>
      <x:c r="J766" s="7" t="n">
        <x:v>35</x:v>
      </x:c>
      <x:c r="K766" s="7" t="str">
        <x:v>unverified-denominator</x:v>
      </x:c>
      <x:c r="L766" s="7" t="d">
        <x:v>2026-09-16T05:12:38.111Z</x:v>
      </x:c>
      <x:c r="M766" s="7" t="str">
        <x:v>https://apm.activecommunities.com/portlandparks/Activity_Search/metro-movers-e---trolley-trail-milwaukie/208309?locale=en-US</x:v>
      </x:c>
    </x:row>
    <x:row r="767" ht="38" customHeight="1">
      <x:c r="A767" s="8" t="str">
        <x:v>208301</x:v>
      </x:c>
      <x:c r="B767" s="11" t="str">
        <x:v>Metro Movers E - Tualatin Hills Nature Park</x:v>
      </x:c>
      <x:c r="C767" s="11" t="str">
        <x:v>N/A</x:v>
      </x:c>
      <x:c r="D767" s="11" t="str">
        <x:v>Hiking &amp; Walking</x:v>
      </x:c>
      <x:c r="E767" s="8" t="str">
        <x:v>undated</x:v>
      </x:c>
      <x:c r="F767" s="8" t="str">
        <x:v>2026-09-28</x:v>
      </x:c>
      <x:c r="G767" s="8" t="str"/>
      <x:c r="H767" s="8" t="n">
        <x:v>11</x:v>
      </x:c>
      <x:c r="I767" s="8"/>
      <x:c r="J767" s="8" t="n">
        <x:v>35</x:v>
      </x:c>
      <x:c r="K767" s="8" t="str">
        <x:v>unverified-denominator</x:v>
      </x:c>
      <x:c r="L767" s="8" t="d">
        <x:v>2026-09-16T05:12:38.111Z</x:v>
      </x:c>
      <x:c r="M767" s="8" t="str">
        <x:v>https://apm.activecommunities.com/portlandparks/Activity_Search/metro-movers-e---tualatin-hills-nature-park/208301?locale=en-US</x:v>
      </x:c>
    </x:row>
    <x:row r="768" ht="38" customHeight="1">
      <x:c r="A768" s="7" t="str">
        <x:v>208305</x:v>
      </x:c>
      <x:c r="B768" s="12" t="str">
        <x:v>Metro Movers M - Aspen/Wildwood/Wild Cherry Loop</x:v>
      </x:c>
      <x:c r="C768" s="12" t="str">
        <x:v>N/A</x:v>
      </x:c>
      <x:c r="D768" s="12" t="str">
        <x:v>Hiking &amp; Walking</x:v>
      </x:c>
      <x:c r="E768" s="7" t="str">
        <x:v>undated</x:v>
      </x:c>
      <x:c r="F768" s="7" t="str">
        <x:v>2026-11-02</x:v>
      </x:c>
      <x:c r="G768" s="7" t="str"/>
      <x:c r="H768" s="7" t="n">
        <x:v>0</x:v>
      </x:c>
      <x:c r="I768" s="7"/>
      <x:c r="J768" s="7" t="n">
        <x:v>35</x:v>
      </x:c>
      <x:c r="K768" s="7" t="str">
        <x:v>unverified-denominator</x:v>
      </x:c>
      <x:c r="L768" s="7" t="d">
        <x:v>2026-09-16T05:12:38.111Z</x:v>
      </x:c>
      <x:c r="M768" s="7" t="str">
        <x:v>https://apm.activecommunities.com/portlandparks/Activity_Search/metro-movers-m---aspen-wildwood-wild-cherry-loop/208305?locale=en-US</x:v>
      </x:c>
    </x:row>
    <x:row r="769" ht="38" customHeight="1">
      <x:c r="A769" s="8" t="str">
        <x:v>208308</x:v>
      </x:c>
      <x:c r="B769" s="11" t="str">
        <x:v>Metro Movers M - Cathedral Park</x:v>
      </x:c>
      <x:c r="C769" s="11" t="str">
        <x:v>N/A</x:v>
      </x:c>
      <x:c r="D769" s="11" t="str">
        <x:v>Hiking &amp; Walking</x:v>
      </x:c>
      <x:c r="E769" s="8" t="str">
        <x:v>undated</x:v>
      </x:c>
      <x:c r="F769" s="8" t="str">
        <x:v>2026-10-09</x:v>
      </x:c>
      <x:c r="G769" s="8" t="str"/>
      <x:c r="H769" s="8" t="n">
        <x:v>14</x:v>
      </x:c>
      <x:c r="I769" s="8"/>
      <x:c r="J769" s="8" t="n">
        <x:v>35</x:v>
      </x:c>
      <x:c r="K769" s="8" t="str">
        <x:v>unverified-denominator</x:v>
      </x:c>
      <x:c r="L769" s="8" t="d">
        <x:v>2026-09-16T05:12:38.111Z</x:v>
      </x:c>
      <x:c r="M769" s="8" t="str">
        <x:v>https://apm.activecommunities.com/portlandparks/Activity_Search/metro-movers-m---cathedral-park/208308?locale=en-US</x:v>
      </x:c>
    </x:row>
    <x:row r="770" ht="38" customHeight="1">
      <x:c r="A770" s="7" t="str">
        <x:v>208312</x:v>
      </x:c>
      <x:c r="B770" s="12" t="str">
        <x:v>Metro Movers M - Duniway Park and Tilikum Crossing</x:v>
      </x:c>
      <x:c r="C770" s="12" t="str">
        <x:v>N/A</x:v>
      </x:c>
      <x:c r="D770" s="12" t="str">
        <x:v>Hiking &amp; Walking</x:v>
      </x:c>
      <x:c r="E770" s="7" t="str">
        <x:v>undated</x:v>
      </x:c>
      <x:c r="F770" s="7" t="str">
        <x:v>2026-11-06</x:v>
      </x:c>
      <x:c r="G770" s="7" t="str"/>
      <x:c r="H770" s="7" t="n">
        <x:v>0</x:v>
      </x:c>
      <x:c r="I770" s="7"/>
      <x:c r="J770" s="7" t="n">
        <x:v>35</x:v>
      </x:c>
      <x:c r="K770" s="7" t="str">
        <x:v>unverified-denominator</x:v>
      </x:c>
      <x:c r="L770" s="7" t="d">
        <x:v>2026-09-16T05:12:38.111Z</x:v>
      </x:c>
      <x:c r="M770" s="7" t="str">
        <x:v>https://apm.activecommunities.com/portlandparks/Activity_Search/metro-movers-m---duniway-park-and-tilikum-crossing/208312?locale=en-US</x:v>
      </x:c>
    </x:row>
    <x:row r="771" ht="38" customHeight="1">
      <x:c r="A771" s="8" t="str">
        <x:v>208304</x:v>
      </x:c>
      <x:c r="B771" s="11" t="str">
        <x:v>Metro Movers M - Hoyt Arboretum</x:v>
      </x:c>
      <x:c r="C771" s="11" t="str">
        <x:v>N/A</x:v>
      </x:c>
      <x:c r="D771" s="11" t="str">
        <x:v>Hiking &amp; Walking</x:v>
      </x:c>
      <x:c r="E771" s="8" t="str">
        <x:v>undated</x:v>
      </x:c>
      <x:c r="F771" s="8" t="str">
        <x:v>2026-10-26</x:v>
      </x:c>
      <x:c r="G771" s="8" t="str"/>
      <x:c r="H771" s="8" t="n">
        <x:v>8</x:v>
      </x:c>
      <x:c r="I771" s="8"/>
      <x:c r="J771" s="8" t="n">
        <x:v>35</x:v>
      </x:c>
      <x:c r="K771" s="8" t="str">
        <x:v>unverified-denominator</x:v>
      </x:c>
      <x:c r="L771" s="8" t="d">
        <x:v>2026-09-16T05:12:38.111Z</x:v>
      </x:c>
      <x:c r="M771" s="8" t="str">
        <x:v>https://apm.activecommunities.com/portlandparks/Activity_Search/metro-movers-m---hoyt-arboretum/208304?locale=en-US</x:v>
      </x:c>
    </x:row>
    <x:row r="772" ht="38" customHeight="1">
      <x:c r="A772" s="7" t="str">
        <x:v>201874</x:v>
      </x:c>
      <x:c r="B772" s="12" t="str">
        <x:v>Metro Movers M - Scouter's Mountain</x:v>
      </x:c>
      <x:c r="C772" s="12" t="str">
        <x:v>N/A</x:v>
      </x:c>
      <x:c r="D772" s="12" t="str">
        <x:v>Hiking &amp; Walking</x:v>
      </x:c>
      <x:c r="E772" s="7" t="str">
        <x:v>undated</x:v>
      </x:c>
      <x:c r="F772" s="7" t="str">
        <x:v>2026-09-18</x:v>
      </x:c>
      <x:c r="G772" s="7" t="str"/>
      <x:c r="H772" s="7" t="n">
        <x:v>15</x:v>
      </x:c>
      <x:c r="I772" s="7"/>
      <x:c r="J772" s="7" t="n">
        <x:v>35</x:v>
      </x:c>
      <x:c r="K772" s="7" t="str">
        <x:v>unverified-denominator</x:v>
      </x:c>
      <x:c r="L772" s="7" t="d">
        <x:v>2026-09-16T05:12:38.111Z</x:v>
      </x:c>
      <x:c r="M772" s="7" t="str">
        <x:v>https://apm.activecommunities.com/portlandparks/Activity_Search/metro-movers-m---scouter-s-mountain/201874?locale=en-US</x:v>
      </x:c>
    </x:row>
    <x:row r="773" ht="38" customHeight="1">
      <x:c r="A773" s="8" t="str">
        <x:v>208306</x:v>
      </x:c>
      <x:c r="B773" s="11" t="str">
        <x:v>Metro Movers M - Whipple Creek Regional Park - Ridgefield</x:v>
      </x:c>
      <x:c r="C773" s="11" t="str">
        <x:v>N/A</x:v>
      </x:c>
      <x:c r="D773" s="11" t="str">
        <x:v>Hiking &amp; Walking</x:v>
      </x:c>
      <x:c r="E773" s="8" t="str">
        <x:v>undated</x:v>
      </x:c>
      <x:c r="F773" s="8" t="str">
        <x:v>2026-11-09</x:v>
      </x:c>
      <x:c r="G773" s="8" t="str"/>
      <x:c r="H773" s="8" t="n">
        <x:v>0</x:v>
      </x:c>
      <x:c r="I773" s="8"/>
      <x:c r="J773" s="8" t="n">
        <x:v>35</x:v>
      </x:c>
      <x:c r="K773" s="8" t="str">
        <x:v>unverified-denominator</x:v>
      </x:c>
      <x:c r="L773" s="8" t="d">
        <x:v>2026-09-16T05:12:38.111Z</x:v>
      </x:c>
      <x:c r="M773" s="8" t="str">
        <x:v>https://apm.activecommunities.com/portlandparks/Activity_Search/metro-movers-m---whipple-creek-regional-park---ridgefield/208306?locale=en-US</x:v>
      </x:c>
    </x:row>
    <x:row r="774" ht="38" customHeight="1">
      <x:c r="A774" s="7" t="str">
        <x:v>208310</x:v>
      </x:c>
      <x:c r="B774" s="12" t="str">
        <x:v>Metro Movers M- Cooper Mountain Nature Park</x:v>
      </x:c>
      <x:c r="C774" s="12" t="str">
        <x:v>N/A</x:v>
      </x:c>
      <x:c r="D774" s="12" t="str">
        <x:v>Hiking &amp; Walking</x:v>
      </x:c>
      <x:c r="E774" s="7" t="str">
        <x:v>undated</x:v>
      </x:c>
      <x:c r="F774" s="7" t="str">
        <x:v>2026-10-23</x:v>
      </x:c>
      <x:c r="G774" s="7" t="str"/>
      <x:c r="H774" s="7" t="n">
        <x:v>18</x:v>
      </x:c>
      <x:c r="I774" s="7"/>
      <x:c r="J774" s="7" t="n">
        <x:v>35</x:v>
      </x:c>
      <x:c r="K774" s="7" t="str">
        <x:v>unverified-denominator</x:v>
      </x:c>
      <x:c r="L774" s="7" t="d">
        <x:v>2026-09-16T05:12:38.111Z</x:v>
      </x:c>
      <x:c r="M774" s="7" t="str">
        <x:v>https://apm.activecommunities.com/portlandparks/Activity_Search/metro-movers-m--cooper-mountain-nature-park/208310?locale=en-US</x:v>
      </x:c>
    </x:row>
    <x:row r="775" ht="38" customHeight="1">
      <x:c r="A775" s="8" t="str">
        <x:v>207524</x:v>
      </x:c>
      <x:c r="B775" s="11" t="str">
        <x:v>Mixed Media - Calligraphy: Humanist Bookhand</x:v>
      </x:c>
      <x:c r="C775" s="11" t="str">
        <x:v>Multnomah Arts Ctr</x:v>
      </x:c>
      <x:c r="D775" s="11" t="str">
        <x:v>Arts &amp; Crafts - Collage, Design, Mix Med</x:v>
      </x:c>
      <x:c r="E775" s="8" t="str">
        <x:v>future</x:v>
      </x:c>
      <x:c r="F775" s="8" t="str">
        <x:v>2026-09-29</x:v>
      </x:c>
      <x:c r="G775" s="8" t="str">
        <x:v>2026-12-01</x:v>
      </x:c>
      <x:c r="H775" s="8" t="n">
        <x:v>10</x:v>
      </x:c>
      <x:c r="I775" s="8"/>
      <x:c r="J775" s="8" t="n">
        <x:v>12</x:v>
      </x:c>
      <x:c r="K775" s="8" t="str">
        <x:v>unverified-denominator</x:v>
      </x:c>
      <x:c r="L775" s="8" t="d">
        <x:v>2026-09-16T05:12:38.111Z</x:v>
      </x:c>
      <x:c r="M775" s="8" t="str">
        <x:v>https://apm.activecommunities.com/portlandparks/Activity_Search/mixed-media---calligraphy-humanist-bookhand/207524?locale=en-US</x:v>
      </x:c>
    </x:row>
    <x:row r="776" ht="38" customHeight="1">
      <x:c r="A776" s="7" t="str">
        <x:v>207525</x:v>
      </x:c>
      <x:c r="B776" s="12" t="str">
        <x:v>Mixed Media - Calligraphy: Roman Square Capitals</x:v>
      </x:c>
      <x:c r="C776" s="12" t="str">
        <x:v>Multnomah Arts Ctr</x:v>
      </x:c>
      <x:c r="D776" s="12" t="str">
        <x:v>Arts &amp; Crafts - Collage, Design, Mix Med</x:v>
      </x:c>
      <x:c r="E776" s="7" t="str">
        <x:v>future</x:v>
      </x:c>
      <x:c r="F776" s="7" t="str">
        <x:v>2026-10-01</x:v>
      </x:c>
      <x:c r="G776" s="7" t="str">
        <x:v>2026-12-03</x:v>
      </x:c>
      <x:c r="H776" s="7" t="n">
        <x:v>4</x:v>
      </x:c>
      <x:c r="I776" s="7"/>
      <x:c r="J776" s="7" t="n">
        <x:v>12</x:v>
      </x:c>
      <x:c r="K776" s="7" t="str">
        <x:v>unverified-denominator</x:v>
      </x:c>
      <x:c r="L776" s="7" t="d">
        <x:v>2026-09-16T05:12:38.111Z</x:v>
      </x:c>
      <x:c r="M776" s="7" t="str">
        <x:v>https://apm.activecommunities.com/portlandparks/Activity_Search/mixed-media---calligraphy-roman-square-capitals/207525?locale=en-US</x:v>
      </x:c>
    </x:row>
    <x:row r="777" ht="38" customHeight="1">
      <x:c r="A777" s="8" t="str">
        <x:v>207912</x:v>
      </x:c>
      <x:c r="B777" s="11" t="str">
        <x:v>Mixed Media - Creative Mixed Media</x:v>
      </x:c>
      <x:c r="C777" s="11" t="str">
        <x:v>Woodstock Cmty Ctr</x:v>
      </x:c>
      <x:c r="D777" s="11" t="str">
        <x:v>Arts &amp; Crafts - Collage, Design, Mix Med</x:v>
      </x:c>
      <x:c r="E777" s="8" t="str">
        <x:v>future</x:v>
      </x:c>
      <x:c r="F777" s="8" t="str">
        <x:v>2026-11-02</x:v>
      </x:c>
      <x:c r="G777" s="8" t="str">
        <x:v>2026-12-07</x:v>
      </x:c>
      <x:c r="H777" s="8" t="n">
        <x:v>0</x:v>
      </x:c>
      <x:c r="I777" s="8"/>
      <x:c r="J777" s="8" t="n">
        <x:v>10</x:v>
      </x:c>
      <x:c r="K777" s="8" t="str">
        <x:v>unverified-denominator</x:v>
      </x:c>
      <x:c r="L777" s="8" t="d">
        <x:v>2026-09-16T05:12:38.111Z</x:v>
      </x:c>
      <x:c r="M777" s="8" t="str">
        <x:v>https://apm.activecommunities.com/portlandparks/Activity_Search/mixed-media---creative-mixed-media/207912?locale=en-US</x:v>
      </x:c>
    </x:row>
    <x:row r="778" ht="38" customHeight="1">
      <x:c r="A778" s="7" t="str">
        <x:v>207675</x:v>
      </x:c>
      <x:c r="B778" s="12" t="str">
        <x:v>Mixed Media - Creative Mixed Media</x:v>
      </x:c>
      <x:c r="C778" s="12" t="str">
        <x:v>Woodstock Cmty Ctr</x:v>
      </x:c>
      <x:c r="D778" s="12" t="str">
        <x:v>Arts &amp; Crafts - Collage, Design, Mix Med</x:v>
      </x:c>
      <x:c r="E778" s="7" t="str">
        <x:v>future</x:v>
      </x:c>
      <x:c r="F778" s="7" t="str">
        <x:v>2026-09-28</x:v>
      </x:c>
      <x:c r="G778" s="7" t="str">
        <x:v>2026-10-26</x:v>
      </x:c>
      <x:c r="H778" s="7" t="n">
        <x:v>2</x:v>
      </x:c>
      <x:c r="I778" s="7"/>
      <x:c r="J778" s="7" t="n">
        <x:v>10</x:v>
      </x:c>
      <x:c r="K778" s="7" t="str">
        <x:v>unverified-denominator</x:v>
      </x:c>
      <x:c r="L778" s="7" t="d">
        <x:v>2026-09-16T05:12:38.111Z</x:v>
      </x:c>
      <x:c r="M778" s="7" t="str">
        <x:v>https://apm.activecommunities.com/portlandparks/Activity_Search/mixed-media---creative-mixed-media/207675?locale=en-US</x:v>
      </x:c>
    </x:row>
    <x:row r="779" ht="38" customHeight="1">
      <x:c r="A779" s="8" t="str">
        <x:v>204694</x:v>
      </x:c>
      <x:c r="B779" s="11" t="str">
        <x:v>Mixed Media - Creative Mixed Media</x:v>
      </x:c>
      <x:c r="C779" s="11" t="str">
        <x:v>Woodstock Cmty Ctr</x:v>
      </x:c>
      <x:c r="D779" s="11" t="str">
        <x:v>Arts &amp; Crafts - Collage, Design, Mix Med</x:v>
      </x:c>
      <x:c r="E779" s="8" t="str">
        <x:v>active</x:v>
      </x:c>
      <x:c r="F779" s="8" t="str">
        <x:v>2026-08-31</x:v>
      </x:c>
      <x:c r="G779" s="8" t="str">
        <x:v>2026-09-21</x:v>
      </x:c>
      <x:c r="H779" s="8" t="n">
        <x:v>4</x:v>
      </x:c>
      <x:c r="I779" s="8"/>
      <x:c r="J779" s="8" t="n">
        <x:v>10</x:v>
      </x:c>
      <x:c r="K779" s="8" t="str">
        <x:v>unverified-denominator</x:v>
      </x:c>
      <x:c r="L779" s="8" t="d">
        <x:v>2026-09-16T05:12:38.111Z</x:v>
      </x:c>
      <x:c r="M779" s="8" t="str">
        <x:v>https://apm.activecommunities.com/portlandparks/Activity_Search/mixed-media---creative-mixed-media/204694?locale=en-US</x:v>
      </x:c>
    </x:row>
    <x:row r="780" ht="38" customHeight="1">
      <x:c r="A780" s="7" t="str">
        <x:v>207526</x:v>
      </x:c>
      <x:c r="B780" s="12" t="str">
        <x:v>Mixed Media - Elements of Design for Seniors</x:v>
      </x:c>
      <x:c r="C780" s="12" t="str">
        <x:v>Multnomah Arts Ctr</x:v>
      </x:c>
      <x:c r="D780" s="12" t="str">
        <x:v>Arts &amp; Crafts - Collage, Design, Mix Med</x:v>
      </x:c>
      <x:c r="E780" s="7" t="str">
        <x:v>future</x:v>
      </x:c>
      <x:c r="F780" s="7" t="str">
        <x:v>2026-10-02</x:v>
      </x:c>
      <x:c r="G780" s="7" t="str">
        <x:v>2026-12-11</x:v>
      </x:c>
      <x:c r="H780" s="7" t="n">
        <x:v>6</x:v>
      </x:c>
      <x:c r="I780" s="7"/>
      <x:c r="J780" s="7" t="n">
        <x:v>10</x:v>
      </x:c>
      <x:c r="K780" s="7" t="str">
        <x:v>unverified-denominator</x:v>
      </x:c>
      <x:c r="L780" s="7" t="d">
        <x:v>2026-09-16T05:12:38.111Z</x:v>
      </x:c>
      <x:c r="M780" s="7" t="str">
        <x:v>https://apm.activecommunities.com/portlandparks/Activity_Search/mixed-media---elements-of-design-for-seniors/207526?locale=en-US</x:v>
      </x:c>
    </x:row>
    <x:row r="781" ht="38" customHeight="1">
      <x:c r="A781" s="8" t="str">
        <x:v>208205</x:v>
      </x:c>
      <x:c r="B781" s="11" t="str">
        <x:v>Mixed Media - Elements of Design for Seniors: Collage</x:v>
      </x:c>
      <x:c r="C781" s="11" t="str">
        <x:v>Multnomah Arts Ctr</x:v>
      </x:c>
      <x:c r="D781" s="11" t="str">
        <x:v>Arts &amp; Crafts - Collage, Design, Mix Med</x:v>
      </x:c>
      <x:c r="E781" s="8" t="str">
        <x:v>future</x:v>
      </x:c>
      <x:c r="F781" s="8" t="str">
        <x:v>2026-09-30</x:v>
      </x:c>
      <x:c r="G781" s="8" t="str">
        <x:v>2026-11-18</x:v>
      </x:c>
      <x:c r="H781" s="8" t="n">
        <x:v>10</x:v>
      </x:c>
      <x:c r="I781" s="8"/>
      <x:c r="J781" s="8" t="n">
        <x:v>10</x:v>
      </x:c>
      <x:c r="K781" s="8" t="str">
        <x:v>unverified-denominator</x:v>
      </x:c>
      <x:c r="L781" s="8" t="d">
        <x:v>2026-09-16T05:12:38.111Z</x:v>
      </x:c>
      <x:c r="M781" s="8" t="str">
        <x:v>https://apm.activecommunities.com/portlandparks/Activity_Search/mixed-media---elements-of-design-for-seniors-collage/208205?locale=en-US</x:v>
      </x:c>
    </x:row>
    <x:row r="782" ht="38" customHeight="1">
      <x:c r="A782" s="7" t="str">
        <x:v>207527</x:v>
      </x:c>
      <x:c r="B782" s="12" t="str">
        <x:v>Mixed Media - Encaustic Painting</x:v>
      </x:c>
      <x:c r="C782" s="12" t="str">
        <x:v>Multnomah Arts Ctr</x:v>
      </x:c>
      <x:c r="D782" s="12" t="str">
        <x:v>Arts &amp; Crafts - Collage, Design, Mix Med</x:v>
      </x:c>
      <x:c r="E782" s="7" t="str">
        <x:v>future</x:v>
      </x:c>
      <x:c r="F782" s="7" t="str">
        <x:v>2026-10-05</x:v>
      </x:c>
      <x:c r="G782" s="7" t="str">
        <x:v>2026-12-07</x:v>
      </x:c>
      <x:c r="H782" s="7" t="n">
        <x:v>8</x:v>
      </x:c>
      <x:c r="I782" s="7" t="n">
        <x:v>3</x:v>
      </x:c>
      <x:c r="J782" s="7" t="n">
        <x:v>8</x:v>
      </x:c>
      <x:c r="K782" s="7" t="str">
        <x:v>unverified-denominator</x:v>
      </x:c>
      <x:c r="L782" s="7" t="d">
        <x:v>2026-09-16T05:12:38.111Z</x:v>
      </x:c>
      <x:c r="M782" s="7" t="str">
        <x:v>https://apm.activecommunities.com/portlandparks/Activity_Search/mixed-media---encaustic-painting/207527?locale=en-US</x:v>
      </x:c>
    </x:row>
    <x:row r="783" ht="38" customHeight="1">
      <x:c r="A783" s="8" t="str">
        <x:v>207528</x:v>
      </x:c>
      <x:c r="B783" s="11" t="str">
        <x:v>Mixed Media - Nature Journaling: For the Joy of It</x:v>
      </x:c>
      <x:c r="C783" s="11" t="str">
        <x:v>Multnomah Arts Ctr</x:v>
      </x:c>
      <x:c r="D783" s="11" t="str">
        <x:v>Arts &amp; Crafts - Collage, Design, Mix Med</x:v>
      </x:c>
      <x:c r="E783" s="8" t="str">
        <x:v>future</x:v>
      </x:c>
      <x:c r="F783" s="8" t="str">
        <x:v>2026-09-29</x:v>
      </x:c>
      <x:c r="G783" s="8" t="str">
        <x:v>2026-12-01</x:v>
      </x:c>
      <x:c r="H783" s="8" t="n">
        <x:v>9</x:v>
      </x:c>
      <x:c r="I783" s="8"/>
      <x:c r="J783" s="8" t="n">
        <x:v>10</x:v>
      </x:c>
      <x:c r="K783" s="8" t="str">
        <x:v>unverified-denominator</x:v>
      </x:c>
      <x:c r="L783" s="8" t="d">
        <x:v>2026-09-16T05:12:38.111Z</x:v>
      </x:c>
      <x:c r="M783" s="8" t="str">
        <x:v>https://apm.activecommunities.com/portlandparks/Activity_Search/mixed-media---nature-journaling-for-the-joy-of-it/207528?locale=en-US</x:v>
      </x:c>
    </x:row>
    <x:row r="784" ht="38" customHeight="1">
      <x:c r="A784" s="7" t="str">
        <x:v>208789</x:v>
      </x:c>
      <x:c r="B784" s="12" t="str">
        <x:v>Mixed Media - The Art of Pysanky: Ukrainian Egg-Dying</x:v>
      </x:c>
      <x:c r="C784" s="12" t="str">
        <x:v>Multnomah Arts Ctr</x:v>
      </x:c>
      <x:c r="D784" s="12" t="str">
        <x:v>Arts &amp; Crafts - Collage, Design, Mix Med</x:v>
      </x:c>
      <x:c r="E784" s="7" t="str">
        <x:v>undated</x:v>
      </x:c>
      <x:c r="F784" s="7" t="str">
        <x:v>2026-11-12</x:v>
      </x:c>
      <x:c r="G784" s="7" t="str"/>
      <x:c r="H784" s="7" t="n">
        <x:v>0</x:v>
      </x:c>
      <x:c r="I784" s="7"/>
      <x:c r="J784" s="7" t="n">
        <x:v>10</x:v>
      </x:c>
      <x:c r="K784" s="7" t="str">
        <x:v>unverified-denominator</x:v>
      </x:c>
      <x:c r="L784" s="7" t="d">
        <x:v>2026-09-16T05:12:38.111Z</x:v>
      </x:c>
      <x:c r="M784" s="7" t="str">
        <x:v>https://apm.activecommunities.com/portlandparks/Activity_Search/mixed-media---the-art-of-pysanky-ukrainian-egg-dying/208789?locale=en-US</x:v>
      </x:c>
    </x:row>
    <x:row r="785" ht="38" customHeight="1">
      <x:c r="A785" s="8" t="str">
        <x:v>207529</x:v>
      </x:c>
      <x:c r="B785" s="11" t="str">
        <x:v>Mixed Media -Trusting the Process: Creative Play Part I</x:v>
      </x:c>
      <x:c r="C785" s="11" t="str">
        <x:v>Multnomah Arts Ctr</x:v>
      </x:c>
      <x:c r="D785" s="11" t="str">
        <x:v>Arts &amp; Crafts - Collage, Design, Mix Med</x:v>
      </x:c>
      <x:c r="E785" s="8" t="str">
        <x:v>future</x:v>
      </x:c>
      <x:c r="F785" s="8" t="str">
        <x:v>2026-09-28</x:v>
      </x:c>
      <x:c r="G785" s="8" t="str">
        <x:v>2026-11-30</x:v>
      </x:c>
      <x:c r="H785" s="8" t="n">
        <x:v>1</x:v>
      </x:c>
      <x:c r="I785" s="8"/>
      <x:c r="J785" s="8" t="n">
        <x:v>10</x:v>
      </x:c>
      <x:c r="K785" s="8" t="str">
        <x:v>unverified-denominator</x:v>
      </x:c>
      <x:c r="L785" s="8" t="d">
        <x:v>2026-09-16T05:12:38.111Z</x:v>
      </x:c>
      <x:c r="M785" s="8" t="str">
        <x:v>https://apm.activecommunities.com/portlandparks/Activity_Search/mixed-media--trusting-the-process-creative-play-part-i/207529?locale=en-US</x:v>
      </x:c>
    </x:row>
    <x:row r="786" ht="38" customHeight="1">
      <x:c r="A786" s="7" t="str">
        <x:v>208190</x:v>
      </x:c>
      <x:c r="B786" s="12" t="str">
        <x:v>Mixed Media -Trusting the Process: Creative Play Part II</x:v>
      </x:c>
      <x:c r="C786" s="12" t="str">
        <x:v>Multnomah Arts Ctr</x:v>
      </x:c>
      <x:c r="D786" s="12" t="str">
        <x:v>Arts &amp; Crafts - Collage, Design, Mix Med</x:v>
      </x:c>
      <x:c r="E786" s="7" t="str">
        <x:v>future</x:v>
      </x:c>
      <x:c r="F786" s="7" t="str">
        <x:v>2026-09-29</x:v>
      </x:c>
      <x:c r="G786" s="7" t="str">
        <x:v>2026-12-01</x:v>
      </x:c>
      <x:c r="H786" s="7" t="n">
        <x:v>7</x:v>
      </x:c>
      <x:c r="I786" s="7"/>
      <x:c r="J786" s="7" t="n">
        <x:v>10</x:v>
      </x:c>
      <x:c r="K786" s="7" t="str">
        <x:v>unverified-denominator</x:v>
      </x:c>
      <x:c r="L786" s="7" t="d">
        <x:v>2026-09-16T05:12:38.111Z</x:v>
      </x:c>
      <x:c r="M786" s="7" t="str">
        <x:v>https://apm.activecommunities.com/portlandparks/Activity_Search/mixed-media--trusting-the-process-creative-play-part-ii/208190?locale=en-US</x:v>
      </x:c>
    </x:row>
    <x:row r="787" ht="38" customHeight="1">
      <x:c r="A787" s="8" t="str">
        <x:v>207862</x:v>
      </x:c>
      <x:c r="B787" s="11" t="str">
        <x:v>Mixed Media Workshop - Diorama making</x:v>
      </x:c>
      <x:c r="C787" s="11" t="str">
        <x:v>Rosewood Initiative</x:v>
      </x:c>
      <x:c r="D787" s="11" t="str">
        <x:v>Arts &amp; Crafts - Fiber &amp; Handcrafts</x:v>
      </x:c>
      <x:c r="E787" s="8" t="str">
        <x:v>undated</x:v>
      </x:c>
      <x:c r="F787" s="8" t="str">
        <x:v>2026-10-27</x:v>
      </x:c>
      <x:c r="G787" s="8" t="str"/>
      <x:c r="H787" s="8" t="n">
        <x:v>0</x:v>
      </x:c>
      <x:c r="I787" s="8"/>
      <x:c r="J787" s="8" t="n">
        <x:v>10</x:v>
      </x:c>
      <x:c r="K787" s="8" t="str">
        <x:v>unverified-denominator</x:v>
      </x:c>
      <x:c r="L787" s="8" t="d">
        <x:v>2026-09-16T05:12:38.111Z</x:v>
      </x:c>
      <x:c r="M787" s="8" t="str">
        <x:v>https://apm.activecommunities.com/portlandparks/Activity_Search/mixed-media-workshop---diorama-making/207862?locale=en-US</x:v>
      </x:c>
    </x:row>
    <x:row r="788" ht="38" customHeight="1">
      <x:c r="A788" s="7" t="str">
        <x:v>207863</x:v>
      </x:c>
      <x:c r="B788" s="12" t="str">
        <x:v>Mixed Media Workshop - Print Lab - Monotype and Lino Cut</x:v>
      </x:c>
      <x:c r="C788" s="12" t="str">
        <x:v>Rosewood Initiative</x:v>
      </x:c>
      <x:c r="D788" s="12" t="str">
        <x:v>Arts &amp; Crafts - Fiber &amp; Handcrafts</x:v>
      </x:c>
      <x:c r="E788" s="7" t="str">
        <x:v>undated</x:v>
      </x:c>
      <x:c r="F788" s="7" t="str">
        <x:v>2026-10-20</x:v>
      </x:c>
      <x:c r="G788" s="7" t="str"/>
      <x:c r="H788" s="7" t="n">
        <x:v>1</x:v>
      </x:c>
      <x:c r="I788" s="7"/>
      <x:c r="J788" s="7" t="n">
        <x:v>10</x:v>
      </x:c>
      <x:c r="K788" s="7" t="str">
        <x:v>unverified-denominator</x:v>
      </x:c>
      <x:c r="L788" s="7" t="d">
        <x:v>2026-09-16T05:12:38.111Z</x:v>
      </x:c>
      <x:c r="M788" s="7" t="str">
        <x:v>https://apm.activecommunities.com/portlandparks/Activity_Search/mixed-media-workshop---print-lab---monotype-and-lino-cut/207863?locale=en-US</x:v>
      </x:c>
    </x:row>
    <x:row r="789" ht="38" customHeight="1">
      <x:c r="A789" s="8" t="str">
        <x:v>207982</x:v>
      </x:c>
      <x:c r="B789" s="11" t="str">
        <x:v>MSCC  - Teen Beginner</x:v>
      </x:c>
      <x:c r="C789" s="11" t="str">
        <x:v>Mt Scott Indoor Pool</x:v>
      </x:c>
      <x:c r="D789" s="11" t="str">
        <x:v>Aquatics - Lessons</x:v>
      </x:c>
      <x:c r="E789" s="8" t="str">
        <x:v>future</x:v>
      </x:c>
      <x:c r="F789" s="8" t="str">
        <x:v>2026-10-10</x:v>
      </x:c>
      <x:c r="G789" s="8" t="str">
        <x:v>2026-12-12</x:v>
      </x:c>
      <x:c r="H789" s="8" t="n">
        <x:v>6</x:v>
      </x:c>
      <x:c r="I789" s="8" t="n">
        <x:v>1</x:v>
      </x:c>
      <x:c r="J789" s="8" t="n">
        <x:v>6</x:v>
      </x:c>
      <x:c r="K789" s="8" t="str">
        <x:v>unverified-denominator</x:v>
      </x:c>
      <x:c r="L789" s="8" t="d">
        <x:v>2026-09-16T05:12:38.111Z</x:v>
      </x:c>
      <x:c r="M789" s="8" t="str">
        <x:v>https://apm.activecommunities.com/portlandparks/Activity_Search/mscc---teen-beginner/207982?locale=en-US</x:v>
      </x:c>
    </x:row>
    <x:row r="790" ht="38" customHeight="1">
      <x:c r="A790" s="7" t="str">
        <x:v>208892</x:v>
      </x:c>
      <x:c r="B790" s="12" t="str">
        <x:v>MSCC  - Teen Beginner</x:v>
      </x:c>
      <x:c r="C790" s="12" t="str">
        <x:v>Mt Scott Indoor Pool</x:v>
      </x:c>
      <x:c r="D790" s="12" t="str">
        <x:v>Aquatics - Lessons</x:v>
      </x:c>
      <x:c r="E790" s="7" t="str">
        <x:v>future</x:v>
      </x:c>
      <x:c r="F790" s="7" t="str">
        <x:v>2026-10-15</x:v>
      </x:c>
      <x:c r="G790" s="7" t="str">
        <x:v>2026-10-29</x:v>
      </x:c>
      <x:c r="H790" s="7" t="n">
        <x:v>4</x:v>
      </x:c>
      <x:c r="I790" s="7"/>
      <x:c r="J790" s="7" t="n">
        <x:v>6</x:v>
      </x:c>
      <x:c r="K790" s="7" t="str">
        <x:v>unverified-denominator</x:v>
      </x:c>
      <x:c r="L790" s="7" t="d">
        <x:v>2026-09-16T05:12:38.111Z</x:v>
      </x:c>
      <x:c r="M790" s="7" t="str">
        <x:v>https://apm.activecommunities.com/portlandparks/Activity_Search/mscc---teen-beginner/208892?locale=en-US</x:v>
      </x:c>
    </x:row>
    <x:row r="791" ht="38" customHeight="1">
      <x:c r="A791" s="8" t="str">
        <x:v>208890</x:v>
      </x:c>
      <x:c r="B791" s="11" t="str">
        <x:v>MSCC - Adult Beginner</x:v>
      </x:c>
      <x:c r="C791" s="11" t="str">
        <x:v>Mt Scott Indoor Pool</x:v>
      </x:c>
      <x:c r="D791" s="11" t="str">
        <x:v>Aquatics - Lessons</x:v>
      </x:c>
      <x:c r="E791" s="8" t="str">
        <x:v>future</x:v>
      </x:c>
      <x:c r="F791" s="8" t="str">
        <x:v>2026-10-15</x:v>
      </x:c>
      <x:c r="G791" s="8" t="str">
        <x:v>2026-10-29</x:v>
      </x:c>
      <x:c r="H791" s="8" t="n">
        <x:v>8</x:v>
      </x:c>
      <x:c r="I791" s="8" t="n">
        <x:v>4</x:v>
      </x:c>
      <x:c r="J791" s="8" t="n">
        <x:v>8</x:v>
      </x:c>
      <x:c r="K791" s="8" t="str">
        <x:v>unverified-denominator</x:v>
      </x:c>
      <x:c r="L791" s="8" t="d">
        <x:v>2026-09-16T05:12:38.111Z</x:v>
      </x:c>
      <x:c r="M791" s="8" t="str">
        <x:v>https://apm.activecommunities.com/portlandparks/Activity_Search/mscc---adult-beginner/208890?locale=en-US</x:v>
      </x:c>
    </x:row>
    <x:row r="792" ht="38" customHeight="1">
      <x:c r="A792" s="7" t="str">
        <x:v>207973</x:v>
      </x:c>
      <x:c r="B792" s="12" t="str">
        <x:v>MSCC - Adult Beginner</x:v>
      </x:c>
      <x:c r="C792" s="12" t="str">
        <x:v>Mt Scott Indoor Pool</x:v>
      </x:c>
      <x:c r="D792" s="12" t="str">
        <x:v>Aquatics - Lessons</x:v>
      </x:c>
      <x:c r="E792" s="7" t="str">
        <x:v>future</x:v>
      </x:c>
      <x:c r="F792" s="7" t="str">
        <x:v>2026-10-10</x:v>
      </x:c>
      <x:c r="G792" s="7" t="str">
        <x:v>2026-12-12</x:v>
      </x:c>
      <x:c r="H792" s="7" t="n">
        <x:v>8</x:v>
      </x:c>
      <x:c r="I792" s="7"/>
      <x:c r="J792" s="7" t="n">
        <x:v>8</x:v>
      </x:c>
      <x:c r="K792" s="7" t="str">
        <x:v>unverified-denominator</x:v>
      </x:c>
      <x:c r="L792" s="7" t="d">
        <x:v>2026-09-16T05:12:38.111Z</x:v>
      </x:c>
      <x:c r="M792" s="7" t="str">
        <x:v>https://apm.activecommunities.com/portlandparks/Activity_Search/mscc---adult-beginner/207973?locale=en-US</x:v>
      </x:c>
    </x:row>
    <x:row r="793" ht="38" customHeight="1">
      <x:c r="A793" s="8" t="str">
        <x:v>208064</x:v>
      </x:c>
      <x:c r="B793" s="11" t="str">
        <x:v>MSCC - Adult Beginner</x:v>
      </x:c>
      <x:c r="C793" s="11" t="str">
        <x:v>Mt Scott Indoor Pool</x:v>
      </x:c>
      <x:c r="D793" s="11" t="str">
        <x:v>Aquatics - Lessons</x:v>
      </x:c>
      <x:c r="E793" s="8" t="str">
        <x:v>future</x:v>
      </x:c>
      <x:c r="F793" s="8" t="str">
        <x:v>2026-11-03</x:v>
      </x:c>
      <x:c r="G793" s="8" t="str">
        <x:v>2026-12-10</x:v>
      </x:c>
      <x:c r="H793" s="8" t="n">
        <x:v>0</x:v>
      </x:c>
      <x:c r="I793" s="8"/>
      <x:c r="J793" s="8" t="n">
        <x:v>8</x:v>
      </x:c>
      <x:c r="K793" s="8" t="str">
        <x:v>unverified-denominator</x:v>
      </x:c>
      <x:c r="L793" s="8" t="d">
        <x:v>2026-09-16T05:12:38.111Z</x:v>
      </x:c>
      <x:c r="M793" s="8" t="str">
        <x:v>https://apm.activecommunities.com/portlandparks/Activity_Search/mscc---adult-beginner/208064?locale=en-US</x:v>
      </x:c>
    </x:row>
    <x:row r="794" ht="38" customHeight="1">
      <x:c r="A794" s="7" t="str">
        <x:v>208044</x:v>
      </x:c>
      <x:c r="B794" s="12" t="str">
        <x:v>MSCC - Adult Beginner</x:v>
      </x:c>
      <x:c r="C794" s="12" t="str">
        <x:v>Mt Scott Indoor Pool</x:v>
      </x:c>
      <x:c r="D794" s="12" t="str">
        <x:v>Aquatics - Lessons</x:v>
      </x:c>
      <x:c r="E794" s="7" t="str">
        <x:v>future</x:v>
      </x:c>
      <x:c r="F794" s="7" t="str">
        <x:v>2026-10-15</x:v>
      </x:c>
      <x:c r="G794" s="7" t="str">
        <x:v>2026-10-29</x:v>
      </x:c>
      <x:c r="H794" s="7" t="n">
        <x:v>8</x:v>
      </x:c>
      <x:c r="I794" s="7"/>
      <x:c r="J794" s="7" t="n">
        <x:v>8</x:v>
      </x:c>
      <x:c r="K794" s="7" t="str">
        <x:v>unverified-denominator</x:v>
      </x:c>
      <x:c r="L794" s="7" t="d">
        <x:v>2026-09-16T05:12:38.111Z</x:v>
      </x:c>
      <x:c r="M794" s="7" t="str">
        <x:v>https://apm.activecommunities.com/portlandparks/Activity_Search/mscc---adult-beginner/208044?locale=en-US</x:v>
      </x:c>
    </x:row>
    <x:row r="795" ht="38" customHeight="1">
      <x:c r="A795" s="8" t="str">
        <x:v>208046</x:v>
      </x:c>
      <x:c r="B795" s="11" t="str">
        <x:v>MSCC - Adult Stroke Improvement</x:v>
      </x:c>
      <x:c r="C795" s="11" t="str">
        <x:v>Mt Scott Indoor Pool</x:v>
      </x:c>
      <x:c r="D795" s="11" t="str">
        <x:v>Aquatics - Lessons</x:v>
      </x:c>
      <x:c r="E795" s="8" t="str">
        <x:v>future</x:v>
      </x:c>
      <x:c r="F795" s="8" t="str">
        <x:v>2026-10-15</x:v>
      </x:c>
      <x:c r="G795" s="8" t="str">
        <x:v>2026-10-29</x:v>
      </x:c>
      <x:c r="H795" s="8" t="n">
        <x:v>8</x:v>
      </x:c>
      <x:c r="I795" s="8" t="n">
        <x:v>6</x:v>
      </x:c>
      <x:c r="J795" s="8" t="n">
        <x:v>8</x:v>
      </x:c>
      <x:c r="K795" s="8" t="str">
        <x:v>unverified-denominator</x:v>
      </x:c>
      <x:c r="L795" s="8" t="d">
        <x:v>2026-09-16T05:12:38.111Z</x:v>
      </x:c>
      <x:c r="M795" s="8" t="str">
        <x:v>https://apm.activecommunities.com/portlandparks/Activity_Search/mscc---adult-stroke-improvement/208046?locale=en-US</x:v>
      </x:c>
    </x:row>
    <x:row r="796" ht="38" customHeight="1">
      <x:c r="A796" s="7" t="str">
        <x:v>208066</x:v>
      </x:c>
      <x:c r="B796" s="12" t="str">
        <x:v>MSCC - Adult Stroke Improvement</x:v>
      </x:c>
      <x:c r="C796" s="12" t="str">
        <x:v>Mt Scott Indoor Pool</x:v>
      </x:c>
      <x:c r="D796" s="12" t="str">
        <x:v>Aquatics - Lessons</x:v>
      </x:c>
      <x:c r="E796" s="7" t="str">
        <x:v>future</x:v>
      </x:c>
      <x:c r="F796" s="7" t="str">
        <x:v>2026-11-03</x:v>
      </x:c>
      <x:c r="G796" s="7" t="str">
        <x:v>2026-12-10</x:v>
      </x:c>
      <x:c r="H796" s="7" t="n">
        <x:v>0</x:v>
      </x:c>
      <x:c r="I796" s="7"/>
      <x:c r="J796" s="7" t="n">
        <x:v>8</x:v>
      </x:c>
      <x:c r="K796" s="7" t="str">
        <x:v>unverified-denominator</x:v>
      </x:c>
      <x:c r="L796" s="7" t="d">
        <x:v>2026-09-16T05:12:38.111Z</x:v>
      </x:c>
      <x:c r="M796" s="7" t="str">
        <x:v>https://apm.activecommunities.com/portlandparks/Activity_Search/mscc---adult-stroke-improvement/208066?locale=en-US</x:v>
      </x:c>
    </x:row>
    <x:row r="797" ht="38" customHeight="1">
      <x:c r="A797" s="8" t="str">
        <x:v>207974</x:v>
      </x:c>
      <x:c r="B797" s="11" t="str">
        <x:v>MSCC - Adult Stroke Improvement</x:v>
      </x:c>
      <x:c r="C797" s="11" t="str">
        <x:v>Mt Scott Indoor Pool</x:v>
      </x:c>
      <x:c r="D797" s="11" t="str">
        <x:v>Aquatics - Lessons</x:v>
      </x:c>
      <x:c r="E797" s="8" t="str">
        <x:v>future</x:v>
      </x:c>
      <x:c r="F797" s="8" t="str">
        <x:v>2026-10-10</x:v>
      </x:c>
      <x:c r="G797" s="8" t="str">
        <x:v>2026-12-12</x:v>
      </x:c>
      <x:c r="H797" s="8" t="n">
        <x:v>8</x:v>
      </x:c>
      <x:c r="I797" s="8" t="n">
        <x:v>10</x:v>
      </x:c>
      <x:c r="J797" s="8" t="n">
        <x:v>8</x:v>
      </x:c>
      <x:c r="K797" s="8" t="str">
        <x:v>unverified-denominator</x:v>
      </x:c>
      <x:c r="L797" s="8" t="d">
        <x:v>2026-09-16T05:12:38.111Z</x:v>
      </x:c>
      <x:c r="M797" s="8" t="str">
        <x:v>https://apm.activecommunities.com/portlandparks/Activity_Search/mscc---adult-stroke-improvement/207974?locale=en-US</x:v>
      </x:c>
    </x:row>
    <x:row r="798" ht="38" customHeight="1">
      <x:c r="A798" s="7" t="str">
        <x:v>208891</x:v>
      </x:c>
      <x:c r="B798" s="12" t="str">
        <x:v>MSCC - Adult Stroke Improvement</x:v>
      </x:c>
      <x:c r="C798" s="12" t="str">
        <x:v>Mt Scott Indoor Pool</x:v>
      </x:c>
      <x:c r="D798" s="12" t="str">
        <x:v>Aquatics - Lessons</x:v>
      </x:c>
      <x:c r="E798" s="7" t="str">
        <x:v>future</x:v>
      </x:c>
      <x:c r="F798" s="7" t="str">
        <x:v>2026-10-15</x:v>
      </x:c>
      <x:c r="G798" s="7" t="str">
        <x:v>2026-10-29</x:v>
      </x:c>
      <x:c r="H798" s="7" t="n">
        <x:v>8</x:v>
      </x:c>
      <x:c r="I798" s="7" t="n">
        <x:v>14</x:v>
      </x:c>
      <x:c r="J798" s="7" t="n">
        <x:v>8</x:v>
      </x:c>
      <x:c r="K798" s="7" t="str">
        <x:v>unverified-denominator</x:v>
      </x:c>
      <x:c r="L798" s="7" t="d">
        <x:v>2026-09-16T05:12:38.111Z</x:v>
      </x:c>
      <x:c r="M798" s="7" t="str">
        <x:v>https://apm.activecommunities.com/portlandparks/Activity_Search/mscc---adult-stroke-improvement/208891?locale=en-US</x:v>
      </x:c>
    </x:row>
    <x:row r="799" ht="38" customHeight="1">
      <x:c r="A799" s="8" t="str">
        <x:v>207979</x:v>
      </x:c>
      <x:c r="B799" s="11" t="str">
        <x:v>MSCC - Angelfish</x:v>
      </x:c>
      <x:c r="C799" s="11" t="str">
        <x:v>Mt Scott Indoor Pool</x:v>
      </x:c>
      <x:c r="D799" s="11" t="str">
        <x:v>Aquatics - Lessons</x:v>
      </x:c>
      <x:c r="E799" s="8" t="str">
        <x:v>future</x:v>
      </x:c>
      <x:c r="F799" s="8" t="str">
        <x:v>2026-10-10</x:v>
      </x:c>
      <x:c r="G799" s="8" t="str">
        <x:v>2026-12-12</x:v>
      </x:c>
      <x:c r="H799" s="8" t="n">
        <x:v>12</x:v>
      </x:c>
      <x:c r="I799" s="8" t="n">
        <x:v>6</x:v>
      </x:c>
      <x:c r="J799" s="8" t="n">
        <x:v>12</x:v>
      </x:c>
      <x:c r="K799" s="8" t="str">
        <x:v>unverified-denominator</x:v>
      </x:c>
      <x:c r="L799" s="8" t="d">
        <x:v>2026-09-16T05:12:38.111Z</x:v>
      </x:c>
      <x:c r="M799" s="8" t="str">
        <x:v>https://apm.activecommunities.com/portlandparks/Activity_Search/mscc---angelfish/207979?locale=en-US</x:v>
      </x:c>
    </x:row>
    <x:row r="800" ht="38" customHeight="1">
      <x:c r="A800" s="7" t="str">
        <x:v>208065</x:v>
      </x:c>
      <x:c r="B800" s="12" t="str">
        <x:v>MSCC - Angelfish</x:v>
      </x:c>
      <x:c r="C800" s="12" t="str">
        <x:v>Mt Scott Indoor Pool</x:v>
      </x:c>
      <x:c r="D800" s="12" t="str">
        <x:v>Aquatics - Lessons</x:v>
      </x:c>
      <x:c r="E800" s="7" t="str">
        <x:v>future</x:v>
      </x:c>
      <x:c r="F800" s="7" t="str">
        <x:v>2026-11-03</x:v>
      </x:c>
      <x:c r="G800" s="7" t="str">
        <x:v>2026-12-10</x:v>
      </x:c>
      <x:c r="H800" s="7" t="n">
        <x:v>0</x:v>
      </x:c>
      <x:c r="I800" s="7"/>
      <x:c r="J800" s="7" t="n">
        <x:v>12</x:v>
      </x:c>
      <x:c r="K800" s="7" t="str">
        <x:v>unverified-denominator</x:v>
      </x:c>
      <x:c r="L800" s="7" t="d">
        <x:v>2026-09-16T05:12:38.111Z</x:v>
      </x:c>
      <x:c r="M800" s="7" t="str">
        <x:v>https://apm.activecommunities.com/portlandparks/Activity_Search/mscc---angelfish/208065?locale=en-US</x:v>
      </x:c>
    </x:row>
    <x:row r="801" ht="38" customHeight="1">
      <x:c r="A801" s="8" t="str">
        <x:v>208045</x:v>
      </x:c>
      <x:c r="B801" s="11" t="str">
        <x:v>MSCC - Angelfish</x:v>
      </x:c>
      <x:c r="C801" s="11" t="str">
        <x:v>Mt Scott Indoor Pool</x:v>
      </x:c>
      <x:c r="D801" s="11" t="str">
        <x:v>Aquatics - Lessons</x:v>
      </x:c>
      <x:c r="E801" s="8" t="str">
        <x:v>future</x:v>
      </x:c>
      <x:c r="F801" s="8" t="str">
        <x:v>2026-10-15</x:v>
      </x:c>
      <x:c r="G801" s="8" t="str">
        <x:v>2026-10-29</x:v>
      </x:c>
      <x:c r="H801" s="8" t="n">
        <x:v>12</x:v>
      </x:c>
      <x:c r="I801" s="8"/>
      <x:c r="J801" s="8" t="n">
        <x:v>12</x:v>
      </x:c>
      <x:c r="K801" s="8" t="str">
        <x:v>unverified-denominator</x:v>
      </x:c>
      <x:c r="L801" s="8" t="d">
        <x:v>2026-09-16T05:12:38.111Z</x:v>
      </x:c>
      <x:c r="M801" s="8" t="str">
        <x:v>https://apm.activecommunities.com/portlandparks/Activity_Search/mscc---angelfish/208045?locale=en-US</x:v>
      </x:c>
    </x:row>
    <x:row r="802" ht="38" customHeight="1">
      <x:c r="A802" s="7" t="str">
        <x:v>207991</x:v>
      </x:c>
      <x:c r="B802" s="12" t="str">
        <x:v>MSCC - Blue Makos</x:v>
      </x:c>
      <x:c r="C802" s="12" t="str">
        <x:v>Mt Scott Indoor Pool</x:v>
      </x:c>
      <x:c r="D802" s="12" t="str">
        <x:v>Aquatics - Lessons</x:v>
      </x:c>
      <x:c r="E802" s="7" t="str">
        <x:v>future</x:v>
      </x:c>
      <x:c r="F802" s="7" t="str">
        <x:v>2026-10-10</x:v>
      </x:c>
      <x:c r="G802" s="7" t="str">
        <x:v>2026-12-12</x:v>
      </x:c>
      <x:c r="H802" s="7" t="n">
        <x:v>44</x:v>
      </x:c>
      <x:c r="I802" s="7" t="n">
        <x:v>34</x:v>
      </x:c>
      <x:c r="J802" s="7" t="n">
        <x:v>45</x:v>
      </x:c>
      <x:c r="K802" s="7" t="str">
        <x:v>unverified-denominator</x:v>
      </x:c>
      <x:c r="L802" s="7" t="d">
        <x:v>2026-09-16T05:12:38.111Z</x:v>
      </x:c>
      <x:c r="M802" s="7" t="str">
        <x:v>https://apm.activecommunities.com/portlandparks/Activity_Search/mscc---blue-makos/207991?locale=en-US</x:v>
      </x:c>
    </x:row>
    <x:row r="803" ht="38" customHeight="1">
      <x:c r="A803" s="8" t="str">
        <x:v>208027</x:v>
      </x:c>
      <x:c r="B803" s="11" t="str">
        <x:v>MSCC - Dolphin</x:v>
      </x:c>
      <x:c r="C803" s="11" t="str">
        <x:v>Mt Scott Indoor Pool</x:v>
      </x:c>
      <x:c r="D803" s="11" t="str">
        <x:v>Aquatics - Lessons</x:v>
      </x:c>
      <x:c r="E803" s="8" t="str">
        <x:v>future</x:v>
      </x:c>
      <x:c r="F803" s="8" t="str">
        <x:v>2026-10-12</x:v>
      </x:c>
      <x:c r="G803" s="8" t="str">
        <x:v>2026-10-28</x:v>
      </x:c>
      <x:c r="H803" s="8" t="n">
        <x:v>8</x:v>
      </x:c>
      <x:c r="I803" s="8" t="n">
        <x:v>8</x:v>
      </x:c>
      <x:c r="J803" s="8" t="n">
        <x:v>8</x:v>
      </x:c>
      <x:c r="K803" s="8" t="str">
        <x:v>unverified-denominator</x:v>
      </x:c>
      <x:c r="L803" s="8" t="d">
        <x:v>2026-09-16T05:12:38.111Z</x:v>
      </x:c>
      <x:c r="M803" s="8" t="str">
        <x:v>https://apm.activecommunities.com/portlandparks/Activity_Search/mscc---dolphin/208027?locale=en-US</x:v>
      </x:c>
    </x:row>
    <x:row r="804" ht="38" customHeight="1">
      <x:c r="A804" s="7" t="str">
        <x:v>208039</x:v>
      </x:c>
      <x:c r="B804" s="12" t="str">
        <x:v>MSCC - Dolphin</x:v>
      </x:c>
      <x:c r="C804" s="12" t="str">
        <x:v>Mt Scott Indoor Pool</x:v>
      </x:c>
      <x:c r="D804" s="12" t="str">
        <x:v>Aquatics - Lessons</x:v>
      </x:c>
      <x:c r="E804" s="7" t="str">
        <x:v>future</x:v>
      </x:c>
      <x:c r="F804" s="7" t="str">
        <x:v>2026-10-15</x:v>
      </x:c>
      <x:c r="G804" s="7" t="str">
        <x:v>2026-10-29</x:v>
      </x:c>
      <x:c r="H804" s="7" t="n">
        <x:v>8</x:v>
      </x:c>
      <x:c r="I804" s="7" t="n">
        <x:v>5</x:v>
      </x:c>
      <x:c r="J804" s="7" t="n">
        <x:v>8</x:v>
      </x:c>
      <x:c r="K804" s="7" t="str">
        <x:v>unverified-denominator</x:v>
      </x:c>
      <x:c r="L804" s="7" t="d">
        <x:v>2026-09-16T05:12:38.111Z</x:v>
      </x:c>
      <x:c r="M804" s="7" t="str">
        <x:v>https://apm.activecommunities.com/portlandparks/Activity_Search/mscc---dolphin/208039?locale=en-US</x:v>
      </x:c>
    </x:row>
    <x:row r="805" ht="38" customHeight="1">
      <x:c r="A805" s="8" t="str">
        <x:v>208059</x:v>
      </x:c>
      <x:c r="B805" s="11" t="str">
        <x:v>MSCC - Dolphin</x:v>
      </x:c>
      <x:c r="C805" s="11" t="str">
        <x:v>Mt Scott Indoor Pool</x:v>
      </x:c>
      <x:c r="D805" s="11" t="str">
        <x:v>Aquatics - Lessons</x:v>
      </x:c>
      <x:c r="E805" s="8" t="str">
        <x:v>future</x:v>
      </x:c>
      <x:c r="F805" s="8" t="str">
        <x:v>2026-11-02</x:v>
      </x:c>
      <x:c r="G805" s="8" t="str">
        <x:v>2026-12-09</x:v>
      </x:c>
      <x:c r="H805" s="8" t="n">
        <x:v>0</x:v>
      </x:c>
      <x:c r="I805" s="8"/>
      <x:c r="J805" s="8" t="n">
        <x:v>8</x:v>
      </x:c>
      <x:c r="K805" s="8" t="str">
        <x:v>unverified-denominator</x:v>
      </x:c>
      <x:c r="L805" s="8" t="d">
        <x:v>2026-09-16T05:12:38.111Z</x:v>
      </x:c>
      <x:c r="M805" s="8" t="str">
        <x:v>https://apm.activecommunities.com/portlandparks/Activity_Search/mscc---dolphin/208059?locale=en-US</x:v>
      </x:c>
    </x:row>
    <x:row r="806" ht="38" customHeight="1">
      <x:c r="A806" s="7" t="str">
        <x:v>208079</x:v>
      </x:c>
      <x:c r="B806" s="12" t="str">
        <x:v>MSCC - Dolphin</x:v>
      </x:c>
      <x:c r="C806" s="12" t="str">
        <x:v>Mt Scott Indoor Pool</x:v>
      </x:c>
      <x:c r="D806" s="12" t="str">
        <x:v>Aquatics - Lessons</x:v>
      </x:c>
      <x:c r="E806" s="7" t="str">
        <x:v>future</x:v>
      </x:c>
      <x:c r="F806" s="7" t="str">
        <x:v>2026-11-03</x:v>
      </x:c>
      <x:c r="G806" s="7" t="str">
        <x:v>2026-12-10</x:v>
      </x:c>
      <x:c r="H806" s="7" t="n">
        <x:v>0</x:v>
      </x:c>
      <x:c r="I806" s="7"/>
      <x:c r="J806" s="7" t="n">
        <x:v>8</x:v>
      </x:c>
      <x:c r="K806" s="7" t="str">
        <x:v>unverified-denominator</x:v>
      </x:c>
      <x:c r="L806" s="7" t="d">
        <x:v>2026-09-16T05:12:38.111Z</x:v>
      </x:c>
      <x:c r="M806" s="7" t="str">
        <x:v>https://apm.activecommunities.com/portlandparks/Activity_Search/mscc---dolphin/208079?locale=en-US</x:v>
      </x:c>
    </x:row>
    <x:row r="807" ht="38" customHeight="1">
      <x:c r="A807" s="8" t="str">
        <x:v>208080</x:v>
      </x:c>
      <x:c r="B807" s="11" t="str">
        <x:v>MSCC - Goldfish</x:v>
      </x:c>
      <x:c r="C807" s="11" t="str">
        <x:v>Mt Scott Indoor Pool</x:v>
      </x:c>
      <x:c r="D807" s="11" t="str">
        <x:v>Aquatics - Lessons</x:v>
      </x:c>
      <x:c r="E807" s="8" t="str">
        <x:v>future</x:v>
      </x:c>
      <x:c r="F807" s="8" t="str">
        <x:v>2026-11-03</x:v>
      </x:c>
      <x:c r="G807" s="8" t="str">
        <x:v>2026-12-10</x:v>
      </x:c>
      <x:c r="H807" s="8" t="n">
        <x:v>0</x:v>
      </x:c>
      <x:c r="I807" s="8"/>
      <x:c r="J807" s="8" t="n">
        <x:v>5</x:v>
      </x:c>
      <x:c r="K807" s="8" t="str">
        <x:v>unverified-denominator</x:v>
      </x:c>
      <x:c r="L807" s="8" t="d">
        <x:v>2026-09-16T05:12:38.111Z</x:v>
      </x:c>
      <x:c r="M807" s="8" t="str">
        <x:v>https://apm.activecommunities.com/portlandparks/Activity_Search/mscc---goldfish/208080?locale=en-US</x:v>
      </x:c>
    </x:row>
    <x:row r="808" ht="38" customHeight="1">
      <x:c r="A808" s="7" t="str">
        <x:v>208068</x:v>
      </x:c>
      <x:c r="B808" s="12" t="str">
        <x:v>MSCC - Goldfish</x:v>
      </x:c>
      <x:c r="C808" s="12" t="str">
        <x:v>Mt Scott Indoor Pool</x:v>
      </x:c>
      <x:c r="D808" s="12" t="str">
        <x:v>Aquatics - Lessons</x:v>
      </x:c>
      <x:c r="E808" s="7" t="str">
        <x:v>future</x:v>
      </x:c>
      <x:c r="F808" s="7" t="str">
        <x:v>2026-11-03</x:v>
      </x:c>
      <x:c r="G808" s="7" t="str">
        <x:v>2026-12-10</x:v>
      </x:c>
      <x:c r="H808" s="7" t="n">
        <x:v>0</x:v>
      </x:c>
      <x:c r="I808" s="7"/>
      <x:c r="J808" s="7" t="n">
        <x:v>5</x:v>
      </x:c>
      <x:c r="K808" s="7" t="str">
        <x:v>unverified-denominator</x:v>
      </x:c>
      <x:c r="L808" s="7" t="d">
        <x:v>2026-09-16T05:12:38.111Z</x:v>
      </x:c>
      <x:c r="M808" s="7" t="str">
        <x:v>https://apm.activecommunities.com/portlandparks/Activity_Search/mscc---goldfish/208068?locale=en-US</x:v>
      </x:c>
    </x:row>
    <x:row r="809" ht="38" customHeight="1">
      <x:c r="A809" s="8" t="str">
        <x:v>208076</x:v>
      </x:c>
      <x:c r="B809" s="11" t="str">
        <x:v>MSCC - Goldfish</x:v>
      </x:c>
      <x:c r="C809" s="11" t="str">
        <x:v>Mt Scott Indoor Pool</x:v>
      </x:c>
      <x:c r="D809" s="11" t="str">
        <x:v>Aquatics - Lessons</x:v>
      </x:c>
      <x:c r="E809" s="8" t="str">
        <x:v>future</x:v>
      </x:c>
      <x:c r="F809" s="8" t="str">
        <x:v>2026-11-03</x:v>
      </x:c>
      <x:c r="G809" s="8" t="str">
        <x:v>2026-12-10</x:v>
      </x:c>
      <x:c r="H809" s="8" t="n">
        <x:v>0</x:v>
      </x:c>
      <x:c r="I809" s="8"/>
      <x:c r="J809" s="8" t="n">
        <x:v>5</x:v>
      </x:c>
      <x:c r="K809" s="8" t="str">
        <x:v>unverified-denominator</x:v>
      </x:c>
      <x:c r="L809" s="8" t="d">
        <x:v>2026-09-16T05:12:38.111Z</x:v>
      </x:c>
      <x:c r="M809" s="8" t="str">
        <x:v>https://apm.activecommunities.com/portlandparks/Activity_Search/mscc---goldfish/208076?locale=en-US</x:v>
      </x:c>
    </x:row>
    <x:row r="810" ht="38" customHeight="1">
      <x:c r="A810" s="7" t="str">
        <x:v>208060</x:v>
      </x:c>
      <x:c r="B810" s="12" t="str">
        <x:v>MSCC - Goldfish</x:v>
      </x:c>
      <x:c r="C810" s="12" t="str">
        <x:v>Mt Scott Indoor Pool</x:v>
      </x:c>
      <x:c r="D810" s="12" t="str">
        <x:v>Aquatics - Lessons</x:v>
      </x:c>
      <x:c r="E810" s="7" t="str">
        <x:v>future</x:v>
      </x:c>
      <x:c r="F810" s="7" t="str">
        <x:v>2026-11-02</x:v>
      </x:c>
      <x:c r="G810" s="7" t="str">
        <x:v>2026-12-09</x:v>
      </x:c>
      <x:c r="H810" s="7" t="n">
        <x:v>0</x:v>
      </x:c>
      <x:c r="I810" s="7"/>
      <x:c r="J810" s="7" t="n">
        <x:v>5</x:v>
      </x:c>
      <x:c r="K810" s="7" t="str">
        <x:v>unverified-denominator</x:v>
      </x:c>
      <x:c r="L810" s="7" t="d">
        <x:v>2026-09-16T05:12:38.111Z</x:v>
      </x:c>
      <x:c r="M810" s="7" t="str">
        <x:v>https://apm.activecommunities.com/portlandparks/Activity_Search/mscc---goldfish/208060?locale=en-US</x:v>
      </x:c>
    </x:row>
    <x:row r="811" ht="38" customHeight="1">
      <x:c r="A811" s="8" t="str">
        <x:v>208062</x:v>
      </x:c>
      <x:c r="B811" s="11" t="str">
        <x:v>MSCC - Goldfish</x:v>
      </x:c>
      <x:c r="C811" s="11" t="str">
        <x:v>Mt Scott Indoor Pool</x:v>
      </x:c>
      <x:c r="D811" s="11" t="str">
        <x:v>Aquatics - Lessons</x:v>
      </x:c>
      <x:c r="E811" s="8" t="str">
        <x:v>future</x:v>
      </x:c>
      <x:c r="F811" s="8" t="str">
        <x:v>2026-11-03</x:v>
      </x:c>
      <x:c r="G811" s="8" t="str">
        <x:v>2026-12-10</x:v>
      </x:c>
      <x:c r="H811" s="8" t="n">
        <x:v>0</x:v>
      </x:c>
      <x:c r="I811" s="8"/>
      <x:c r="J811" s="8" t="n">
        <x:v>5</x:v>
      </x:c>
      <x:c r="K811" s="8" t="str">
        <x:v>unverified-denominator</x:v>
      </x:c>
      <x:c r="L811" s="8" t="d">
        <x:v>2026-09-16T05:12:38.111Z</x:v>
      </x:c>
      <x:c r="M811" s="8" t="str">
        <x:v>https://apm.activecommunities.com/portlandparks/Activity_Search/mscc---goldfish/208062?locale=en-US</x:v>
      </x:c>
    </x:row>
    <x:row r="812" ht="38" customHeight="1">
      <x:c r="A812" s="7" t="str">
        <x:v>208048</x:v>
      </x:c>
      <x:c r="B812" s="12" t="str">
        <x:v>MSCC - Goldfish</x:v>
      </x:c>
      <x:c r="C812" s="12" t="str">
        <x:v>Mt Scott Indoor Pool</x:v>
      </x:c>
      <x:c r="D812" s="12" t="str">
        <x:v>Aquatics - Lessons</x:v>
      </x:c>
      <x:c r="E812" s="7" t="str">
        <x:v>future</x:v>
      </x:c>
      <x:c r="F812" s="7" t="str">
        <x:v>2026-10-15</x:v>
      </x:c>
      <x:c r="G812" s="7" t="str">
        <x:v>2026-10-29</x:v>
      </x:c>
      <x:c r="H812" s="7" t="n">
        <x:v>2</x:v>
      </x:c>
      <x:c r="I812" s="7"/>
      <x:c r="J812" s="7" t="n">
        <x:v>5</x:v>
      </x:c>
      <x:c r="K812" s="7" t="str">
        <x:v>unverified-denominator</x:v>
      </x:c>
      <x:c r="L812" s="7" t="d">
        <x:v>2026-09-16T05:12:38.111Z</x:v>
      </x:c>
      <x:c r="M812" s="7" t="str">
        <x:v>https://apm.activecommunities.com/portlandparks/Activity_Search/mscc---goldfish/208048?locale=en-US</x:v>
      </x:c>
    </x:row>
    <x:row r="813" ht="38" customHeight="1">
      <x:c r="A813" s="8" t="str">
        <x:v>208056</x:v>
      </x:c>
      <x:c r="B813" s="11" t="str">
        <x:v>MSCC - Goldfish</x:v>
      </x:c>
      <x:c r="C813" s="11" t="str">
        <x:v>Mt Scott Indoor Pool</x:v>
      </x:c>
      <x:c r="D813" s="11" t="str">
        <x:v>Aquatics - Lessons</x:v>
      </x:c>
      <x:c r="E813" s="8" t="str">
        <x:v>future</x:v>
      </x:c>
      <x:c r="F813" s="8" t="str">
        <x:v>2026-11-02</x:v>
      </x:c>
      <x:c r="G813" s="8" t="str">
        <x:v>2026-12-09</x:v>
      </x:c>
      <x:c r="H813" s="8" t="n">
        <x:v>0</x:v>
      </x:c>
      <x:c r="I813" s="8"/>
      <x:c r="J813" s="8" t="n">
        <x:v>5</x:v>
      </x:c>
      <x:c r="K813" s="8" t="str">
        <x:v>unverified-denominator</x:v>
      </x:c>
      <x:c r="L813" s="8" t="d">
        <x:v>2026-09-16T05:12:38.111Z</x:v>
      </x:c>
      <x:c r="M813" s="8" t="str">
        <x:v>https://apm.activecommunities.com/portlandparks/Activity_Search/mscc---goldfish/208056?locale=en-US</x:v>
      </x:c>
    </x:row>
    <x:row r="814" ht="38" customHeight="1">
      <x:c r="A814" s="7" t="str">
        <x:v>208050</x:v>
      </x:c>
      <x:c r="B814" s="12" t="str">
        <x:v>MSCC - Goldfish</x:v>
      </x:c>
      <x:c r="C814" s="12" t="str">
        <x:v>Mt Scott Indoor Pool</x:v>
      </x:c>
      <x:c r="D814" s="12" t="str">
        <x:v>Aquatics - Lessons</x:v>
      </x:c>
      <x:c r="E814" s="7" t="str">
        <x:v>future</x:v>
      </x:c>
      <x:c r="F814" s="7" t="str">
        <x:v>2026-11-02</x:v>
      </x:c>
      <x:c r="G814" s="7" t="str">
        <x:v>2026-12-09</x:v>
      </x:c>
      <x:c r="H814" s="7" t="n">
        <x:v>0</x:v>
      </x:c>
      <x:c r="I814" s="7"/>
      <x:c r="J814" s="7" t="n">
        <x:v>5</x:v>
      </x:c>
      <x:c r="K814" s="7" t="str">
        <x:v>unverified-denominator</x:v>
      </x:c>
      <x:c r="L814" s="7" t="d">
        <x:v>2026-09-16T05:12:38.111Z</x:v>
      </x:c>
      <x:c r="M814" s="7" t="str">
        <x:v>https://apm.activecommunities.com/portlandparks/Activity_Search/mscc---goldfish/208050?locale=en-US</x:v>
      </x:c>
    </x:row>
    <x:row r="815" ht="38" customHeight="1">
      <x:c r="A815" s="8" t="str">
        <x:v>208070</x:v>
      </x:c>
      <x:c r="B815" s="11" t="str">
        <x:v>MSCC - Goldfish</x:v>
      </x:c>
      <x:c r="C815" s="11" t="str">
        <x:v>Mt Scott Indoor Pool</x:v>
      </x:c>
      <x:c r="D815" s="11" t="str">
        <x:v>Aquatics - Lessons</x:v>
      </x:c>
      <x:c r="E815" s="8" t="str">
        <x:v>future</x:v>
      </x:c>
      <x:c r="F815" s="8" t="str">
        <x:v>2026-11-03</x:v>
      </x:c>
      <x:c r="G815" s="8" t="str">
        <x:v>2026-12-10</x:v>
      </x:c>
      <x:c r="H815" s="8" t="n">
        <x:v>0</x:v>
      </x:c>
      <x:c r="I815" s="8"/>
      <x:c r="J815" s="8" t="n">
        <x:v>5</x:v>
      </x:c>
      <x:c r="K815" s="8" t="str">
        <x:v>unverified-denominator</x:v>
      </x:c>
      <x:c r="L815" s="8" t="d">
        <x:v>2026-09-16T05:12:38.111Z</x:v>
      </x:c>
      <x:c r="M815" s="8" t="str">
        <x:v>https://apm.activecommunities.com/portlandparks/Activity_Search/mscc---goldfish/208070?locale=en-US</x:v>
      </x:c>
    </x:row>
    <x:row r="816" ht="38" customHeight="1">
      <x:c r="A816" s="7" t="str">
        <x:v>208040</x:v>
      </x:c>
      <x:c r="B816" s="12" t="str">
        <x:v>MSCC - Goldfish</x:v>
      </x:c>
      <x:c r="C816" s="12" t="str">
        <x:v>Mt Scott Indoor Pool</x:v>
      </x:c>
      <x:c r="D816" s="12" t="str">
        <x:v>Aquatics - Lessons</x:v>
      </x:c>
      <x:c r="E816" s="7" t="str">
        <x:v>future</x:v>
      </x:c>
      <x:c r="F816" s="7" t="str">
        <x:v>2026-10-15</x:v>
      </x:c>
      <x:c r="G816" s="7" t="str">
        <x:v>2026-10-29</x:v>
      </x:c>
      <x:c r="H816" s="7" t="n">
        <x:v>4</x:v>
      </x:c>
      <x:c r="I816" s="7" t="n">
        <x:v>5</x:v>
      </x:c>
      <x:c r="J816" s="7" t="n">
        <x:v>5</x:v>
      </x:c>
      <x:c r="K816" s="7" t="str">
        <x:v>unverified-denominator</x:v>
      </x:c>
      <x:c r="L816" s="7" t="d">
        <x:v>2026-09-16T05:12:38.111Z</x:v>
      </x:c>
      <x:c r="M816" s="7" t="str">
        <x:v>https://apm.activecommunities.com/portlandparks/Activity_Search/mscc---goldfish/208040?locale=en-US</x:v>
      </x:c>
    </x:row>
    <x:row r="817" ht="38" customHeight="1">
      <x:c r="A817" s="8" t="str">
        <x:v>208042</x:v>
      </x:c>
      <x:c r="B817" s="11" t="str">
        <x:v>MSCC - Goldfish</x:v>
      </x:c>
      <x:c r="C817" s="11" t="str">
        <x:v>Mt Scott Indoor Pool</x:v>
      </x:c>
      <x:c r="D817" s="11" t="str">
        <x:v>Aquatics - Lessons</x:v>
      </x:c>
      <x:c r="E817" s="8" t="str">
        <x:v>future</x:v>
      </x:c>
      <x:c r="F817" s="8" t="str">
        <x:v>2026-10-15</x:v>
      </x:c>
      <x:c r="G817" s="8" t="str">
        <x:v>2026-10-29</x:v>
      </x:c>
      <x:c r="H817" s="8" t="n">
        <x:v>4</x:v>
      </x:c>
      <x:c r="I817" s="8"/>
      <x:c r="J817" s="8" t="n">
        <x:v>5</x:v>
      </x:c>
      <x:c r="K817" s="8" t="str">
        <x:v>unverified-denominator</x:v>
      </x:c>
      <x:c r="L817" s="8" t="d">
        <x:v>2026-09-16T05:12:38.111Z</x:v>
      </x:c>
      <x:c r="M817" s="8" t="str">
        <x:v>https://apm.activecommunities.com/portlandparks/Activity_Search/mscc---goldfish/208042?locale=en-US</x:v>
      </x:c>
    </x:row>
    <x:row r="818" ht="38" customHeight="1">
      <x:c r="A818" s="7" t="str">
        <x:v>208028</x:v>
      </x:c>
      <x:c r="B818" s="12" t="str">
        <x:v>MSCC - Goldfish</x:v>
      </x:c>
      <x:c r="C818" s="12" t="str">
        <x:v>Mt Scott Indoor Pool</x:v>
      </x:c>
      <x:c r="D818" s="12" t="str">
        <x:v>Aquatics - Lessons</x:v>
      </x:c>
      <x:c r="E818" s="7" t="str">
        <x:v>future</x:v>
      </x:c>
      <x:c r="F818" s="7" t="str">
        <x:v>2026-10-12</x:v>
      </x:c>
      <x:c r="G818" s="7" t="str">
        <x:v>2026-10-28</x:v>
      </x:c>
      <x:c r="H818" s="7" t="n">
        <x:v>5</x:v>
      </x:c>
      <x:c r="I818" s="7" t="n">
        <x:v>10</x:v>
      </x:c>
      <x:c r="J818" s="7" t="n">
        <x:v>5</x:v>
      </x:c>
      <x:c r="K818" s="7" t="str">
        <x:v>unverified-denominator</x:v>
      </x:c>
      <x:c r="L818" s="7" t="d">
        <x:v>2026-09-16T05:12:38.111Z</x:v>
      </x:c>
      <x:c r="M818" s="7" t="str">
        <x:v>https://apm.activecommunities.com/portlandparks/Activity_Search/mscc---goldfish/208028?locale=en-US</x:v>
      </x:c>
    </x:row>
    <x:row r="819" ht="38" customHeight="1">
      <x:c r="A819" s="8" t="str">
        <x:v>208036</x:v>
      </x:c>
      <x:c r="B819" s="11" t="str">
        <x:v>MSCC - Goldfish</x:v>
      </x:c>
      <x:c r="C819" s="11" t="str">
        <x:v>Mt Scott Indoor Pool</x:v>
      </x:c>
      <x:c r="D819" s="11" t="str">
        <x:v>Aquatics - Lessons</x:v>
      </x:c>
      <x:c r="E819" s="8" t="str">
        <x:v>future</x:v>
      </x:c>
      <x:c r="F819" s="8" t="str">
        <x:v>2026-10-15</x:v>
      </x:c>
      <x:c r="G819" s="8" t="str">
        <x:v>2026-10-29</x:v>
      </x:c>
      <x:c r="H819" s="8" t="n">
        <x:v>5</x:v>
      </x:c>
      <x:c r="I819" s="8" t="n">
        <x:v>5</x:v>
      </x:c>
      <x:c r="J819" s="8" t="n">
        <x:v>5</x:v>
      </x:c>
      <x:c r="K819" s="8" t="str">
        <x:v>unverified-denominator</x:v>
      </x:c>
      <x:c r="L819" s="8" t="d">
        <x:v>2026-09-16T05:12:38.111Z</x:v>
      </x:c>
      <x:c r="M819" s="8" t="str">
        <x:v>https://apm.activecommunities.com/portlandparks/Activity_Search/mscc---goldfish/208036?locale=en-US</x:v>
      </x:c>
    </x:row>
    <x:row r="820" ht="38" customHeight="1">
      <x:c r="A820" s="7" t="str">
        <x:v>208024</x:v>
      </x:c>
      <x:c r="B820" s="12" t="str">
        <x:v>MSCC - Goldfish</x:v>
      </x:c>
      <x:c r="C820" s="12" t="str">
        <x:v>Mt Scott Indoor Pool</x:v>
      </x:c>
      <x:c r="D820" s="12" t="str">
        <x:v>Aquatics - Lessons</x:v>
      </x:c>
      <x:c r="E820" s="7" t="str">
        <x:v>future</x:v>
      </x:c>
      <x:c r="F820" s="7" t="str">
        <x:v>2026-10-12</x:v>
      </x:c>
      <x:c r="G820" s="7" t="str">
        <x:v>2026-10-28</x:v>
      </x:c>
      <x:c r="H820" s="7" t="n">
        <x:v>5</x:v>
      </x:c>
      <x:c r="I820" s="7" t="n">
        <x:v>5</x:v>
      </x:c>
      <x:c r="J820" s="7" t="n">
        <x:v>5</x:v>
      </x:c>
      <x:c r="K820" s="7" t="str">
        <x:v>unverified-denominator</x:v>
      </x:c>
      <x:c r="L820" s="7" t="d">
        <x:v>2026-09-16T05:12:38.111Z</x:v>
      </x:c>
      <x:c r="M820" s="7" t="str">
        <x:v>https://apm.activecommunities.com/portlandparks/Activity_Search/mscc---goldfish/208024?locale=en-US</x:v>
      </x:c>
    </x:row>
    <x:row r="821" ht="38" customHeight="1">
      <x:c r="A821" s="8" t="str">
        <x:v>208030</x:v>
      </x:c>
      <x:c r="B821" s="11" t="str">
        <x:v>MSCC - Goldfish</x:v>
      </x:c>
      <x:c r="C821" s="11" t="str">
        <x:v>Mt Scott Indoor Pool</x:v>
      </x:c>
      <x:c r="D821" s="11" t="str">
        <x:v>Aquatics - Lessons</x:v>
      </x:c>
      <x:c r="E821" s="8" t="str">
        <x:v>future</x:v>
      </x:c>
      <x:c r="F821" s="8" t="str">
        <x:v>2026-10-15</x:v>
      </x:c>
      <x:c r="G821" s="8" t="str">
        <x:v>2026-10-29</x:v>
      </x:c>
      <x:c r="H821" s="8" t="n">
        <x:v>5</x:v>
      </x:c>
      <x:c r="I821" s="8" t="n">
        <x:v>4</x:v>
      </x:c>
      <x:c r="J821" s="8" t="n">
        <x:v>5</x:v>
      </x:c>
      <x:c r="K821" s="8" t="str">
        <x:v>unverified-denominator</x:v>
      </x:c>
      <x:c r="L821" s="8" t="d">
        <x:v>2026-09-16T05:12:38.111Z</x:v>
      </x:c>
      <x:c r="M821" s="8" t="str">
        <x:v>https://apm.activecommunities.com/portlandparks/Activity_Search/mscc---goldfish/208030?locale=en-US</x:v>
      </x:c>
    </x:row>
    <x:row r="822" ht="38" customHeight="1">
      <x:c r="A822" s="7" t="str">
        <x:v>208018</x:v>
      </x:c>
      <x:c r="B822" s="12" t="str">
        <x:v>MSCC - Goldfish</x:v>
      </x:c>
      <x:c r="C822" s="12" t="str">
        <x:v>Mt Scott Indoor Pool</x:v>
      </x:c>
      <x:c r="D822" s="12" t="str">
        <x:v>Aquatics - Lessons</x:v>
      </x:c>
      <x:c r="E822" s="7" t="str">
        <x:v>future</x:v>
      </x:c>
      <x:c r="F822" s="7" t="str">
        <x:v>2026-10-12</x:v>
      </x:c>
      <x:c r="G822" s="7" t="str">
        <x:v>2026-10-28</x:v>
      </x:c>
      <x:c r="H822" s="7" t="n">
        <x:v>5</x:v>
      </x:c>
      <x:c r="I822" s="7" t="n">
        <x:v>3</x:v>
      </x:c>
      <x:c r="J822" s="7" t="n">
        <x:v>5</x:v>
      </x:c>
      <x:c r="K822" s="7" t="str">
        <x:v>unverified-denominator</x:v>
      </x:c>
      <x:c r="L822" s="7" t="d">
        <x:v>2026-09-16T05:12:38.111Z</x:v>
      </x:c>
      <x:c r="M822" s="7" t="str">
        <x:v>https://apm.activecommunities.com/portlandparks/Activity_Search/mscc---goldfish/208018?locale=en-US</x:v>
      </x:c>
    </x:row>
    <x:row r="823" ht="38" customHeight="1">
      <x:c r="A823" s="8" t="str">
        <x:v>207983</x:v>
      </x:c>
      <x:c r="B823" s="11" t="str">
        <x:v>MSCC - Goldfish</x:v>
      </x:c>
      <x:c r="C823" s="11" t="str">
        <x:v>Mt Scott Indoor Pool</x:v>
      </x:c>
      <x:c r="D823" s="11" t="str">
        <x:v>Aquatics - Lessons</x:v>
      </x:c>
      <x:c r="E823" s="8" t="str">
        <x:v>future</x:v>
      </x:c>
      <x:c r="F823" s="8" t="str">
        <x:v>2026-10-10</x:v>
      </x:c>
      <x:c r="G823" s="8" t="str">
        <x:v>2026-12-12</x:v>
      </x:c>
      <x:c r="H823" s="8" t="n">
        <x:v>5</x:v>
      </x:c>
      <x:c r="I823" s="8" t="n">
        <x:v>6</x:v>
      </x:c>
      <x:c r="J823" s="8" t="n">
        <x:v>5</x:v>
      </x:c>
      <x:c r="K823" s="8" t="str">
        <x:v>unverified-denominator</x:v>
      </x:c>
      <x:c r="L823" s="8" t="d">
        <x:v>2026-09-16T05:12:38.111Z</x:v>
      </x:c>
      <x:c r="M823" s="8" t="str">
        <x:v>https://apm.activecommunities.com/portlandparks/Activity_Search/mscc---goldfish/207983?locale=en-US</x:v>
      </x:c>
    </x:row>
    <x:row r="824" ht="38" customHeight="1">
      <x:c r="A824" s="7" t="str">
        <x:v>207980</x:v>
      </x:c>
      <x:c r="B824" s="12" t="str">
        <x:v>MSCC - Goldfish</x:v>
      </x:c>
      <x:c r="C824" s="12" t="str">
        <x:v>Mt Scott Indoor Pool</x:v>
      </x:c>
      <x:c r="D824" s="12" t="str">
        <x:v>Aquatics - Lessons</x:v>
      </x:c>
      <x:c r="E824" s="7" t="str">
        <x:v>future</x:v>
      </x:c>
      <x:c r="F824" s="7" t="str">
        <x:v>2026-10-10</x:v>
      </x:c>
      <x:c r="G824" s="7" t="str">
        <x:v>2026-12-12</x:v>
      </x:c>
      <x:c r="H824" s="7" t="n">
        <x:v>4</x:v>
      </x:c>
      <x:c r="I824" s="7" t="n">
        <x:v>5</x:v>
      </x:c>
      <x:c r="J824" s="7" t="n">
        <x:v>5</x:v>
      </x:c>
      <x:c r="K824" s="7" t="str">
        <x:v>unverified-denominator</x:v>
      </x:c>
      <x:c r="L824" s="7" t="d">
        <x:v>2026-09-16T05:12:38.111Z</x:v>
      </x:c>
      <x:c r="M824" s="7" t="str">
        <x:v>https://apm.activecommunities.com/portlandparks/Activity_Search/mscc---goldfish/207980?locale=en-US</x:v>
      </x:c>
    </x:row>
    <x:row r="825" ht="38" customHeight="1">
      <x:c r="A825" s="8" t="str">
        <x:v>207975</x:v>
      </x:c>
      <x:c r="B825" s="11" t="str">
        <x:v>MSCC - Goldfish</x:v>
      </x:c>
      <x:c r="C825" s="11" t="str">
        <x:v>Mt Scott Indoor Pool</x:v>
      </x:c>
      <x:c r="D825" s="11" t="str">
        <x:v>Aquatics - Lessons</x:v>
      </x:c>
      <x:c r="E825" s="8" t="str">
        <x:v>future</x:v>
      </x:c>
      <x:c r="F825" s="8" t="str">
        <x:v>2026-10-10</x:v>
      </x:c>
      <x:c r="G825" s="8" t="str">
        <x:v>2026-12-12</x:v>
      </x:c>
      <x:c r="H825" s="8" t="n">
        <x:v>5</x:v>
      </x:c>
      <x:c r="I825" s="8" t="n">
        <x:v>2</x:v>
      </x:c>
      <x:c r="J825" s="8" t="n">
        <x:v>5</x:v>
      </x:c>
      <x:c r="K825" s="8" t="str">
        <x:v>unverified-denominator</x:v>
      </x:c>
      <x:c r="L825" s="8" t="d">
        <x:v>2026-09-16T05:12:38.111Z</x:v>
      </x:c>
      <x:c r="M825" s="8" t="str">
        <x:v>https://apm.activecommunities.com/portlandparks/Activity_Search/mscc---goldfish/207975?locale=en-US</x:v>
      </x:c>
    </x:row>
    <x:row r="826" ht="38" customHeight="1">
      <x:c r="A826" s="7" t="str">
        <x:v>208894</x:v>
      </x:c>
      <x:c r="B826" s="12" t="str">
        <x:v>MSCC - Goldfish</x:v>
      </x:c>
      <x:c r="C826" s="12" t="str">
        <x:v>Mt Scott Indoor Pool</x:v>
      </x:c>
      <x:c r="D826" s="12" t="str">
        <x:v>Aquatics - Lessons</x:v>
      </x:c>
      <x:c r="E826" s="7" t="str">
        <x:v>future</x:v>
      </x:c>
      <x:c r="F826" s="7" t="str">
        <x:v>2026-10-12</x:v>
      </x:c>
      <x:c r="G826" s="7" t="str">
        <x:v>2026-10-28</x:v>
      </x:c>
      <x:c r="H826" s="7" t="n">
        <x:v>5</x:v>
      </x:c>
      <x:c r="I826" s="7" t="n">
        <x:v>1</x:v>
      </x:c>
      <x:c r="J826" s="7" t="n">
        <x:v>5</x:v>
      </x:c>
      <x:c r="K826" s="7" t="str">
        <x:v>unverified-denominator</x:v>
      </x:c>
      <x:c r="L826" s="7" t="d">
        <x:v>2026-09-16T05:12:38.111Z</x:v>
      </x:c>
      <x:c r="M826" s="7" t="str">
        <x:v>https://apm.activecommunities.com/portlandparks/Activity_Search/mscc---goldfish/208894?locale=en-US</x:v>
      </x:c>
    </x:row>
    <x:row r="827" ht="38" customHeight="1">
      <x:c r="A827" s="8" t="str">
        <x:v>208884</x:v>
      </x:c>
      <x:c r="B827" s="11" t="str">
        <x:v>MSCC - Goldfish</x:v>
      </x:c>
      <x:c r="C827" s="11" t="str">
        <x:v>Mt Scott Indoor Pool</x:v>
      </x:c>
      <x:c r="D827" s="11" t="str">
        <x:v>Aquatics - Lessons</x:v>
      </x:c>
      <x:c r="E827" s="8" t="str">
        <x:v>future</x:v>
      </x:c>
      <x:c r="F827" s="8" t="str">
        <x:v>2026-10-15</x:v>
      </x:c>
      <x:c r="G827" s="8" t="str">
        <x:v>2026-10-29</x:v>
      </x:c>
      <x:c r="H827" s="8" t="n">
        <x:v>5</x:v>
      </x:c>
      <x:c r="I827" s="8" t="n">
        <x:v>1</x:v>
      </x:c>
      <x:c r="J827" s="8" t="n">
        <x:v>5</x:v>
      </x:c>
      <x:c r="K827" s="8" t="str">
        <x:v>unverified-denominator</x:v>
      </x:c>
      <x:c r="L827" s="8" t="d">
        <x:v>2026-09-16T05:12:38.111Z</x:v>
      </x:c>
      <x:c r="M827" s="8" t="str">
        <x:v>https://apm.activecommunities.com/portlandparks/Activity_Search/mscc---goldfish/208884?locale=en-US</x:v>
      </x:c>
    </x:row>
    <x:row r="828" ht="38" customHeight="1">
      <x:c r="A828" s="7" t="str">
        <x:v>208982</x:v>
      </x:c>
      <x:c r="B828" s="12" t="str">
        <x:v>MSCC - Goldfish</x:v>
      </x:c>
      <x:c r="C828" s="12" t="str">
        <x:v>Mt Scott Indoor Pool</x:v>
      </x:c>
      <x:c r="D828" s="12" t="str">
        <x:v>Aquatics - Lessons</x:v>
      </x:c>
      <x:c r="E828" s="7" t="str">
        <x:v>future</x:v>
      </x:c>
      <x:c r="F828" s="7" t="str">
        <x:v>2026-10-10</x:v>
      </x:c>
      <x:c r="G828" s="7" t="str">
        <x:v>2026-12-12</x:v>
      </x:c>
      <x:c r="H828" s="7" t="n">
        <x:v>5</x:v>
      </x:c>
      <x:c r="I828" s="7" t="n">
        <x:v>2</x:v>
      </x:c>
      <x:c r="J828" s="7" t="n">
        <x:v>5</x:v>
      </x:c>
      <x:c r="K828" s="7" t="str">
        <x:v>unverified-denominator</x:v>
      </x:c>
      <x:c r="L828" s="7" t="d">
        <x:v>2026-09-16T05:12:38.111Z</x:v>
      </x:c>
      <x:c r="M828" s="7" t="str">
        <x:v>https://apm.activecommunities.com/portlandparks/Activity_Search/mscc---goldfish/208982?locale=en-US</x:v>
      </x:c>
    </x:row>
    <x:row r="829" ht="38" customHeight="1">
      <x:c r="A829" s="8" t="str">
        <x:v>208988</x:v>
      </x:c>
      <x:c r="B829" s="11" t="str">
        <x:v>MSCC - Goldfish</x:v>
      </x:c>
      <x:c r="C829" s="11" t="str">
        <x:v>Mt Scott Indoor Pool</x:v>
      </x:c>
      <x:c r="D829" s="11" t="str">
        <x:v>Aquatics - Lessons</x:v>
      </x:c>
      <x:c r="E829" s="8" t="str">
        <x:v>future</x:v>
      </x:c>
      <x:c r="F829" s="8" t="str">
        <x:v>2026-10-10</x:v>
      </x:c>
      <x:c r="G829" s="8" t="str">
        <x:v>2026-12-12</x:v>
      </x:c>
      <x:c r="H829" s="8" t="n">
        <x:v>4</x:v>
      </x:c>
      <x:c r="I829" s="8" t="n">
        <x:v>7</x:v>
      </x:c>
      <x:c r="J829" s="8" t="n">
        <x:v>5</x:v>
      </x:c>
      <x:c r="K829" s="8" t="str">
        <x:v>unverified-denominator</x:v>
      </x:c>
      <x:c r="L829" s="8" t="d">
        <x:v>2026-09-16T05:12:38.111Z</x:v>
      </x:c>
      <x:c r="M829" s="8" t="str">
        <x:v>https://apm.activecommunities.com/portlandparks/Activity_Search/mscc---goldfish/208988?locale=en-US</x:v>
      </x:c>
    </x:row>
    <x:row r="830" ht="38" customHeight="1">
      <x:c r="A830" s="7" t="str">
        <x:v>208990</x:v>
      </x:c>
      <x:c r="B830" s="12" t="str">
        <x:v>MSCC - Goldfish</x:v>
      </x:c>
      <x:c r="C830" s="12" t="str">
        <x:v>Mt Scott Indoor Pool</x:v>
      </x:c>
      <x:c r="D830" s="12" t="str">
        <x:v>Aquatics - Lessons</x:v>
      </x:c>
      <x:c r="E830" s="7" t="str">
        <x:v>future</x:v>
      </x:c>
      <x:c r="F830" s="7" t="str">
        <x:v>2026-10-10</x:v>
      </x:c>
      <x:c r="G830" s="7" t="str">
        <x:v>2026-12-12</x:v>
      </x:c>
      <x:c r="H830" s="7" t="n">
        <x:v>5</x:v>
      </x:c>
      <x:c r="I830" s="7" t="n">
        <x:v>3</x:v>
      </x:c>
      <x:c r="J830" s="7" t="n">
        <x:v>5</x:v>
      </x:c>
      <x:c r="K830" s="7" t="str">
        <x:v>unverified-denominator</x:v>
      </x:c>
      <x:c r="L830" s="7" t="d">
        <x:v>2026-09-16T05:12:38.111Z</x:v>
      </x:c>
      <x:c r="M830" s="7" t="str">
        <x:v>https://apm.activecommunities.com/portlandparks/Activity_Search/mscc---goldfish/208990?locale=en-US</x:v>
      </x:c>
    </x:row>
    <x:row r="831" ht="38" customHeight="1">
      <x:c r="A831" s="8" t="str">
        <x:v>208981</x:v>
      </x:c>
      <x:c r="B831" s="11" t="str">
        <x:v>MSCC - Otter</x:v>
      </x:c>
      <x:c r="C831" s="11" t="str">
        <x:v>Mt Scott Indoor Pool</x:v>
      </x:c>
      <x:c r="D831" s="11" t="str">
        <x:v>Aquatics - Lessons</x:v>
      </x:c>
      <x:c r="E831" s="8" t="str">
        <x:v>future</x:v>
      </x:c>
      <x:c r="F831" s="8" t="str">
        <x:v>2026-10-10</x:v>
      </x:c>
      <x:c r="G831" s="8" t="str">
        <x:v>2026-12-12</x:v>
      </x:c>
      <x:c r="H831" s="8" t="n">
        <x:v>6</x:v>
      </x:c>
      <x:c r="I831" s="8" t="n">
        <x:v>6</x:v>
      </x:c>
      <x:c r="J831" s="8" t="n">
        <x:v>6</x:v>
      </x:c>
      <x:c r="K831" s="8" t="str">
        <x:v>unverified-denominator</x:v>
      </x:c>
      <x:c r="L831" s="8" t="d">
        <x:v>2026-09-16T05:12:38.111Z</x:v>
      </x:c>
      <x:c r="M831" s="8" t="str">
        <x:v>https://apm.activecommunities.com/portlandparks/Activity_Search/mscc---otter/208981?locale=en-US</x:v>
      </x:c>
    </x:row>
    <x:row r="832" ht="38" customHeight="1">
      <x:c r="A832" s="7" t="str">
        <x:v>208883</x:v>
      </x:c>
      <x:c r="B832" s="12" t="str">
        <x:v>MSCC - Otter</x:v>
      </x:c>
      <x:c r="C832" s="12" t="str">
        <x:v>Mt Scott Indoor Pool</x:v>
      </x:c>
      <x:c r="D832" s="12" t="str">
        <x:v>Aquatics - Lessons</x:v>
      </x:c>
      <x:c r="E832" s="7" t="str">
        <x:v>future</x:v>
      </x:c>
      <x:c r="F832" s="7" t="str">
        <x:v>2026-10-15</x:v>
      </x:c>
      <x:c r="G832" s="7" t="str">
        <x:v>2026-10-29</x:v>
      </x:c>
      <x:c r="H832" s="7" t="n">
        <x:v>6</x:v>
      </x:c>
      <x:c r="I832" s="7" t="n">
        <x:v>10</x:v>
      </x:c>
      <x:c r="J832" s="7" t="n">
        <x:v>6</x:v>
      </x:c>
      <x:c r="K832" s="7" t="str">
        <x:v>unverified-denominator</x:v>
      </x:c>
      <x:c r="L832" s="7" t="d">
        <x:v>2026-09-16T05:12:38.111Z</x:v>
      </x:c>
      <x:c r="M832" s="7" t="str">
        <x:v>https://apm.activecommunities.com/portlandparks/Activity_Search/mscc---otter/208883?locale=en-US</x:v>
      </x:c>
    </x:row>
    <x:row r="833" ht="38" customHeight="1">
      <x:c r="A833" s="8" t="str">
        <x:v>208896</x:v>
      </x:c>
      <x:c r="B833" s="11" t="str">
        <x:v>MSCC - Otter</x:v>
      </x:c>
      <x:c r="C833" s="11" t="str">
        <x:v>Mt Scott Indoor Pool</x:v>
      </x:c>
      <x:c r="D833" s="11" t="str">
        <x:v>Aquatics - Lessons</x:v>
      </x:c>
      <x:c r="E833" s="8" t="str">
        <x:v>future</x:v>
      </x:c>
      <x:c r="F833" s="8" t="str">
        <x:v>2026-10-12</x:v>
      </x:c>
      <x:c r="G833" s="8" t="str">
        <x:v>2026-10-28</x:v>
      </x:c>
      <x:c r="H833" s="8" t="n">
        <x:v>6</x:v>
      </x:c>
      <x:c r="I833" s="8" t="n">
        <x:v>9</x:v>
      </x:c>
      <x:c r="J833" s="8" t="n">
        <x:v>6</x:v>
      </x:c>
      <x:c r="K833" s="8" t="str">
        <x:v>unverified-denominator</x:v>
      </x:c>
      <x:c r="L833" s="8" t="d">
        <x:v>2026-09-16T05:12:38.111Z</x:v>
      </x:c>
      <x:c r="M833" s="8" t="str">
        <x:v>https://apm.activecommunities.com/portlandparks/Activity_Search/mscc---otter/208896?locale=en-US</x:v>
      </x:c>
    </x:row>
    <x:row r="834" ht="38" customHeight="1">
      <x:c r="A834" s="7" t="str">
        <x:v>207976</x:v>
      </x:c>
      <x:c r="B834" s="12" t="str">
        <x:v>MSCC - Otter</x:v>
      </x:c>
      <x:c r="C834" s="12" t="str">
        <x:v>Mt Scott Indoor Pool</x:v>
      </x:c>
      <x:c r="D834" s="12" t="str">
        <x:v>Aquatics - Lessons</x:v>
      </x:c>
      <x:c r="E834" s="7" t="str">
        <x:v>future</x:v>
      </x:c>
      <x:c r="F834" s="7" t="str">
        <x:v>2026-10-10</x:v>
      </x:c>
      <x:c r="G834" s="7" t="str">
        <x:v>2026-12-12</x:v>
      </x:c>
      <x:c r="H834" s="7" t="n">
        <x:v>6</x:v>
      </x:c>
      <x:c r="I834" s="7" t="n">
        <x:v>12</x:v>
      </x:c>
      <x:c r="J834" s="7" t="n">
        <x:v>6</x:v>
      </x:c>
      <x:c r="K834" s="7" t="str">
        <x:v>unverified-denominator</x:v>
      </x:c>
      <x:c r="L834" s="7" t="d">
        <x:v>2026-09-16T05:12:38.111Z</x:v>
      </x:c>
      <x:c r="M834" s="7" t="str">
        <x:v>https://apm.activecommunities.com/portlandparks/Activity_Search/mscc---otter/207976?locale=en-US</x:v>
      </x:c>
    </x:row>
    <x:row r="835" ht="38" customHeight="1">
      <x:c r="A835" s="8" t="str">
        <x:v>207988</x:v>
      </x:c>
      <x:c r="B835" s="11" t="str">
        <x:v>MSCC - Otter</x:v>
      </x:c>
      <x:c r="C835" s="11" t="str">
        <x:v>Mt Scott Indoor Pool</x:v>
      </x:c>
      <x:c r="D835" s="11" t="str">
        <x:v>Aquatics - Lessons</x:v>
      </x:c>
      <x:c r="E835" s="8" t="str">
        <x:v>future</x:v>
      </x:c>
      <x:c r="F835" s="8" t="str">
        <x:v>2026-10-10</x:v>
      </x:c>
      <x:c r="G835" s="8" t="str">
        <x:v>2026-12-12</x:v>
      </x:c>
      <x:c r="H835" s="8" t="n">
        <x:v>6</x:v>
      </x:c>
      <x:c r="I835" s="8" t="n">
        <x:v>16</x:v>
      </x:c>
      <x:c r="J835" s="8" t="n">
        <x:v>6</x:v>
      </x:c>
      <x:c r="K835" s="8" t="str">
        <x:v>unverified-denominator</x:v>
      </x:c>
      <x:c r="L835" s="8" t="d">
        <x:v>2026-09-16T05:12:38.111Z</x:v>
      </x:c>
      <x:c r="M835" s="8" t="str">
        <x:v>https://apm.activecommunities.com/portlandparks/Activity_Search/mscc---otter/207988?locale=en-US</x:v>
      </x:c>
    </x:row>
    <x:row r="836" ht="38" customHeight="1">
      <x:c r="A836" s="7" t="str">
        <x:v>208029</x:v>
      </x:c>
      <x:c r="B836" s="12" t="str">
        <x:v>MSCC - Otter</x:v>
      </x:c>
      <x:c r="C836" s="12" t="str">
        <x:v>Mt Scott Indoor Pool</x:v>
      </x:c>
      <x:c r="D836" s="12" t="str">
        <x:v>Aquatics - Lessons</x:v>
      </x:c>
      <x:c r="E836" s="7" t="str">
        <x:v>future</x:v>
      </x:c>
      <x:c r="F836" s="7" t="str">
        <x:v>2026-10-12</x:v>
      </x:c>
      <x:c r="G836" s="7" t="str">
        <x:v>2026-10-28</x:v>
      </x:c>
      <x:c r="H836" s="7" t="n">
        <x:v>6</x:v>
      </x:c>
      <x:c r="I836" s="7" t="n">
        <x:v>9</x:v>
      </x:c>
      <x:c r="J836" s="7" t="n">
        <x:v>6</x:v>
      </x:c>
      <x:c r="K836" s="7" t="str">
        <x:v>unverified-denominator</x:v>
      </x:c>
      <x:c r="L836" s="7" t="d">
        <x:v>2026-09-16T05:12:38.111Z</x:v>
      </x:c>
      <x:c r="M836" s="7" t="str">
        <x:v>https://apm.activecommunities.com/portlandparks/Activity_Search/mscc---otter/208029?locale=en-US</x:v>
      </x:c>
    </x:row>
    <x:row r="837" ht="38" customHeight="1">
      <x:c r="A837" s="8" t="str">
        <x:v>208041</x:v>
      </x:c>
      <x:c r="B837" s="11" t="str">
        <x:v>MSCC - Otter</x:v>
      </x:c>
      <x:c r="C837" s="11" t="str">
        <x:v>Mt Scott Indoor Pool</x:v>
      </x:c>
      <x:c r="D837" s="11" t="str">
        <x:v>Aquatics - Lessons</x:v>
      </x:c>
      <x:c r="E837" s="8" t="str">
        <x:v>future</x:v>
      </x:c>
      <x:c r="F837" s="8" t="str">
        <x:v>2026-10-15</x:v>
      </x:c>
      <x:c r="G837" s="8" t="str">
        <x:v>2026-10-29</x:v>
      </x:c>
      <x:c r="H837" s="8" t="n">
        <x:v>6</x:v>
      </x:c>
      <x:c r="I837" s="8" t="n">
        <x:v>5</x:v>
      </x:c>
      <x:c r="J837" s="8" t="n">
        <x:v>6</x:v>
      </x:c>
      <x:c r="K837" s="8" t="str">
        <x:v>unverified-denominator</x:v>
      </x:c>
      <x:c r="L837" s="8" t="d">
        <x:v>2026-09-16T05:12:38.111Z</x:v>
      </x:c>
      <x:c r="M837" s="8" t="str">
        <x:v>https://apm.activecommunities.com/portlandparks/Activity_Search/mscc---otter/208041?locale=en-US</x:v>
      </x:c>
    </x:row>
    <x:row r="838" ht="38" customHeight="1">
      <x:c r="A838" s="7" t="str">
        <x:v>208061</x:v>
      </x:c>
      <x:c r="B838" s="12" t="str">
        <x:v>MSCC - Otter</x:v>
      </x:c>
      <x:c r="C838" s="12" t="str">
        <x:v>Mt Scott Indoor Pool</x:v>
      </x:c>
      <x:c r="D838" s="12" t="str">
        <x:v>Aquatics - Lessons</x:v>
      </x:c>
      <x:c r="E838" s="7" t="str">
        <x:v>future</x:v>
      </x:c>
      <x:c r="F838" s="7" t="str">
        <x:v>2026-11-02</x:v>
      </x:c>
      <x:c r="G838" s="7" t="str">
        <x:v>2026-12-09</x:v>
      </x:c>
      <x:c r="H838" s="7" t="n">
        <x:v>0</x:v>
      </x:c>
      <x:c r="I838" s="7"/>
      <x:c r="J838" s="7" t="n">
        <x:v>6</x:v>
      </x:c>
      <x:c r="K838" s="7" t="str">
        <x:v>unverified-denominator</x:v>
      </x:c>
      <x:c r="L838" s="7" t="d">
        <x:v>2026-09-16T05:12:38.111Z</x:v>
      </x:c>
      <x:c r="M838" s="7" t="str">
        <x:v>https://apm.activecommunities.com/portlandparks/Activity_Search/mscc---otter/208061?locale=en-US</x:v>
      </x:c>
    </x:row>
    <x:row r="839" ht="38" customHeight="1">
      <x:c r="A839" s="8" t="str">
        <x:v>208081</x:v>
      </x:c>
      <x:c r="B839" s="11" t="str">
        <x:v>MSCC - Otter</x:v>
      </x:c>
      <x:c r="C839" s="11" t="str">
        <x:v>Mt Scott Indoor Pool</x:v>
      </x:c>
      <x:c r="D839" s="11" t="str">
        <x:v>Aquatics - Lessons</x:v>
      </x:c>
      <x:c r="E839" s="8" t="str">
        <x:v>future</x:v>
      </x:c>
      <x:c r="F839" s="8" t="str">
        <x:v>2026-11-03</x:v>
      </x:c>
      <x:c r="G839" s="8" t="str">
        <x:v>2026-12-10</x:v>
      </x:c>
      <x:c r="H839" s="8" t="n">
        <x:v>0</x:v>
      </x:c>
      <x:c r="I839" s="8"/>
      <x:c r="J839" s="8" t="n">
        <x:v>6</x:v>
      </x:c>
      <x:c r="K839" s="8" t="str">
        <x:v>unverified-denominator</x:v>
      </x:c>
      <x:c r="L839" s="8" t="d">
        <x:v>2026-09-16T05:12:38.111Z</x:v>
      </x:c>
      <x:c r="M839" s="8" t="str">
        <x:v>https://apm.activecommunities.com/portlandparks/Activity_Search/mscc---otter/208081?locale=en-US</x:v>
      </x:c>
    </x:row>
    <x:row r="840" ht="38" customHeight="1">
      <x:c r="A840" s="7" t="str">
        <x:v>208051</x:v>
      </x:c>
      <x:c r="B840" s="12" t="str">
        <x:v>MSCC - Penguin</x:v>
      </x:c>
      <x:c r="C840" s="12" t="str">
        <x:v>Mt Scott Indoor Pool</x:v>
      </x:c>
      <x:c r="D840" s="12" t="str">
        <x:v>Aquatics - Lessons</x:v>
      </x:c>
      <x:c r="E840" s="7" t="str">
        <x:v>future</x:v>
      </x:c>
      <x:c r="F840" s="7" t="str">
        <x:v>2026-11-02</x:v>
      </x:c>
      <x:c r="G840" s="7" t="str">
        <x:v>2026-12-09</x:v>
      </x:c>
      <x:c r="H840" s="7" t="n">
        <x:v>0</x:v>
      </x:c>
      <x:c r="I840" s="7"/>
      <x:c r="J840" s="7" t="n">
        <x:v>5</x:v>
      </x:c>
      <x:c r="K840" s="7" t="str">
        <x:v>unverified-denominator</x:v>
      </x:c>
      <x:c r="L840" s="7" t="d">
        <x:v>2026-09-16T05:12:38.111Z</x:v>
      </x:c>
      <x:c r="M840" s="7" t="str">
        <x:v>https://apm.activecommunities.com/portlandparks/Activity_Search/mscc---penguin/208051?locale=en-US</x:v>
      </x:c>
    </x:row>
    <x:row r="841" ht="38" customHeight="1">
      <x:c r="A841" s="8" t="str">
        <x:v>208071</x:v>
      </x:c>
      <x:c r="B841" s="11" t="str">
        <x:v>MSCC - Penguin</x:v>
      </x:c>
      <x:c r="C841" s="11" t="str">
        <x:v>Mt Scott Indoor Pool</x:v>
      </x:c>
      <x:c r="D841" s="11" t="str">
        <x:v>Aquatics - Lessons</x:v>
      </x:c>
      <x:c r="E841" s="8" t="str">
        <x:v>future</x:v>
      </x:c>
      <x:c r="F841" s="8" t="str">
        <x:v>2026-11-03</x:v>
      </x:c>
      <x:c r="G841" s="8" t="str">
        <x:v>2026-12-10</x:v>
      </x:c>
      <x:c r="H841" s="8" t="n">
        <x:v>0</x:v>
      </x:c>
      <x:c r="I841" s="8"/>
      <x:c r="J841" s="8" t="n">
        <x:v>5</x:v>
      </x:c>
      <x:c r="K841" s="8" t="str">
        <x:v>unverified-denominator</x:v>
      </x:c>
      <x:c r="L841" s="8" t="d">
        <x:v>2026-09-16T05:12:38.111Z</x:v>
      </x:c>
      <x:c r="M841" s="8" t="str">
        <x:v>https://apm.activecommunities.com/portlandparks/Activity_Search/mscc---penguin/208071?locale=en-US</x:v>
      </x:c>
    </x:row>
    <x:row r="842" ht="38" customHeight="1">
      <x:c r="A842" s="7" t="str">
        <x:v>208031</x:v>
      </x:c>
      <x:c r="B842" s="12" t="str">
        <x:v>MSCC - Penguin</x:v>
      </x:c>
      <x:c r="C842" s="12" t="str">
        <x:v>Mt Scott Indoor Pool</x:v>
      </x:c>
      <x:c r="D842" s="12" t="str">
        <x:v>Aquatics - Lessons</x:v>
      </x:c>
      <x:c r="E842" s="7" t="str">
        <x:v>future</x:v>
      </x:c>
      <x:c r="F842" s="7" t="str">
        <x:v>2026-10-15</x:v>
      </x:c>
      <x:c r="G842" s="7" t="str">
        <x:v>2026-10-29</x:v>
      </x:c>
      <x:c r="H842" s="7" t="n">
        <x:v>5</x:v>
      </x:c>
      <x:c r="I842" s="7" t="n">
        <x:v>2</x:v>
      </x:c>
      <x:c r="J842" s="7" t="n">
        <x:v>5</x:v>
      </x:c>
      <x:c r="K842" s="7" t="str">
        <x:v>unverified-denominator</x:v>
      </x:c>
      <x:c r="L842" s="7" t="d">
        <x:v>2026-09-16T05:12:38.111Z</x:v>
      </x:c>
      <x:c r="M842" s="7" t="str">
        <x:v>https://apm.activecommunities.com/portlandparks/Activity_Search/mscc---penguin/208031?locale=en-US</x:v>
      </x:c>
    </x:row>
    <x:row r="843" ht="38" customHeight="1">
      <x:c r="A843" s="8" t="str">
        <x:v>208019</x:v>
      </x:c>
      <x:c r="B843" s="11" t="str">
        <x:v>MSCC - Penguin</x:v>
      </x:c>
      <x:c r="C843" s="11" t="str">
        <x:v>Mt Scott Indoor Pool</x:v>
      </x:c>
      <x:c r="D843" s="11" t="str">
        <x:v>Aquatics - Lessons</x:v>
      </x:c>
      <x:c r="E843" s="8" t="str">
        <x:v>future</x:v>
      </x:c>
      <x:c r="F843" s="8" t="str">
        <x:v>2026-10-12</x:v>
      </x:c>
      <x:c r="G843" s="8" t="str">
        <x:v>2026-10-28</x:v>
      </x:c>
      <x:c r="H843" s="8" t="n">
        <x:v>5</x:v>
      </x:c>
      <x:c r="I843" s="8"/>
      <x:c r="J843" s="8" t="n">
        <x:v>5</x:v>
      </x:c>
      <x:c r="K843" s="8" t="str">
        <x:v>unverified-denominator</x:v>
      </x:c>
      <x:c r="L843" s="8" t="d">
        <x:v>2026-09-16T05:12:38.111Z</x:v>
      </x:c>
      <x:c r="M843" s="8" t="str">
        <x:v>https://apm.activecommunities.com/portlandparks/Activity_Search/mscc---penguin/208019?locale=en-US</x:v>
      </x:c>
    </x:row>
    <x:row r="844" ht="38" customHeight="1">
      <x:c r="A844" s="7" t="str">
        <x:v>207985</x:v>
      </x:c>
      <x:c r="B844" s="12" t="str">
        <x:v>MSCC - Penguin</x:v>
      </x:c>
      <x:c r="C844" s="12" t="str">
        <x:v>Mt Scott Indoor Pool</x:v>
      </x:c>
      <x:c r="D844" s="12" t="str">
        <x:v>Aquatics - Lessons</x:v>
      </x:c>
      <x:c r="E844" s="7" t="str">
        <x:v>future</x:v>
      </x:c>
      <x:c r="F844" s="7" t="str">
        <x:v>2026-10-10</x:v>
      </x:c>
      <x:c r="G844" s="7" t="str">
        <x:v>2026-12-12</x:v>
      </x:c>
      <x:c r="H844" s="7" t="n">
        <x:v>5</x:v>
      </x:c>
      <x:c r="I844" s="7" t="n">
        <x:v>10</x:v>
      </x:c>
      <x:c r="J844" s="7" t="n">
        <x:v>5</x:v>
      </x:c>
      <x:c r="K844" s="7" t="str">
        <x:v>unverified-denominator</x:v>
      </x:c>
      <x:c r="L844" s="7" t="d">
        <x:v>2026-09-16T05:12:38.111Z</x:v>
      </x:c>
      <x:c r="M844" s="7" t="str">
        <x:v>https://apm.activecommunities.com/portlandparks/Activity_Search/mscc---penguin/207985?locale=en-US</x:v>
      </x:c>
    </x:row>
    <x:row r="845" ht="38" customHeight="1">
      <x:c r="A845" s="8" t="str">
        <x:v>208887</x:v>
      </x:c>
      <x:c r="B845" s="11" t="str">
        <x:v>MSCC - Penguin</x:v>
      </x:c>
      <x:c r="C845" s="11" t="str">
        <x:v>Mt Scott Indoor Pool</x:v>
      </x:c>
      <x:c r="D845" s="11" t="str">
        <x:v>Aquatics - Lessons</x:v>
      </x:c>
      <x:c r="E845" s="8" t="str">
        <x:v>future</x:v>
      </x:c>
      <x:c r="F845" s="8" t="str">
        <x:v>2026-10-15</x:v>
      </x:c>
      <x:c r="G845" s="8" t="str">
        <x:v>2026-10-29</x:v>
      </x:c>
      <x:c r="H845" s="8" t="n">
        <x:v>5</x:v>
      </x:c>
      <x:c r="I845" s="8"/>
      <x:c r="J845" s="8" t="n">
        <x:v>5</x:v>
      </x:c>
      <x:c r="K845" s="8" t="str">
        <x:v>unverified-denominator</x:v>
      </x:c>
      <x:c r="L845" s="8" t="d">
        <x:v>2026-09-16T05:12:38.111Z</x:v>
      </x:c>
      <x:c r="M845" s="8" t="str">
        <x:v>https://apm.activecommunities.com/portlandparks/Activity_Search/mscc---penguin/208887?locale=en-US</x:v>
      </x:c>
    </x:row>
    <x:row r="846" ht="38" customHeight="1">
      <x:c r="A846" s="7" t="str">
        <x:v>208888</x:v>
      </x:c>
      <x:c r="B846" s="12" t="str">
        <x:v>MSCC - Penguin</x:v>
      </x:c>
      <x:c r="C846" s="12" t="str">
        <x:v>Mt Scott Indoor Pool</x:v>
      </x:c>
      <x:c r="D846" s="12" t="str">
        <x:v>Aquatics - Lessons</x:v>
      </x:c>
      <x:c r="E846" s="7" t="str">
        <x:v>future</x:v>
      </x:c>
      <x:c r="F846" s="7" t="str">
        <x:v>2026-10-15</x:v>
      </x:c>
      <x:c r="G846" s="7" t="str">
        <x:v>2026-10-29</x:v>
      </x:c>
      <x:c r="H846" s="7" t="n">
        <x:v>5</x:v>
      </x:c>
      <x:c r="I846" s="7"/>
      <x:c r="J846" s="7" t="n">
        <x:v>5</x:v>
      </x:c>
      <x:c r="K846" s="7" t="str">
        <x:v>unverified-denominator</x:v>
      </x:c>
      <x:c r="L846" s="7" t="d">
        <x:v>2026-09-16T05:12:38.111Z</x:v>
      </x:c>
      <x:c r="M846" s="7" t="str">
        <x:v>https://apm.activecommunities.com/portlandparks/Activity_Search/mscc---penguin/208888?locale=en-US</x:v>
      </x:c>
    </x:row>
    <x:row r="847" ht="38" customHeight="1">
      <x:c r="A847" s="8" t="str">
        <x:v>208901</x:v>
      </x:c>
      <x:c r="B847" s="11" t="str">
        <x:v>MSCC - Penguin</x:v>
      </x:c>
      <x:c r="C847" s="11" t="str">
        <x:v>Mt Scott Indoor Pool</x:v>
      </x:c>
      <x:c r="D847" s="11" t="str">
        <x:v>Aquatics - Lessons</x:v>
      </x:c>
      <x:c r="E847" s="8" t="str">
        <x:v>future</x:v>
      </x:c>
      <x:c r="F847" s="8" t="str">
        <x:v>2026-10-12</x:v>
      </x:c>
      <x:c r="G847" s="8" t="str">
        <x:v>2026-10-28</x:v>
      </x:c>
      <x:c r="H847" s="8" t="n">
        <x:v>5</x:v>
      </x:c>
      <x:c r="I847" s="8" t="n">
        <x:v>1</x:v>
      </x:c>
      <x:c r="J847" s="8" t="n">
        <x:v>5</x:v>
      </x:c>
      <x:c r="K847" s="8" t="str">
        <x:v>unverified-denominator</x:v>
      </x:c>
      <x:c r="L847" s="8" t="d">
        <x:v>2026-09-16T05:12:38.111Z</x:v>
      </x:c>
      <x:c r="M847" s="8" t="str">
        <x:v>https://apm.activecommunities.com/portlandparks/Activity_Search/mscc---penguin/208901?locale=en-US</x:v>
      </x:c>
    </x:row>
    <x:row r="848" ht="38" customHeight="1">
      <x:c r="A848" s="7" t="str">
        <x:v>208900</x:v>
      </x:c>
      <x:c r="B848" s="12" t="str">
        <x:v>MSCC - Polar Bear</x:v>
      </x:c>
      <x:c r="C848" s="12" t="str">
        <x:v>Mt Scott Indoor Pool</x:v>
      </x:c>
      <x:c r="D848" s="12" t="str">
        <x:v>Aquatics - Lessons</x:v>
      </x:c>
      <x:c r="E848" s="7" t="str">
        <x:v>future</x:v>
      </x:c>
      <x:c r="F848" s="7" t="str">
        <x:v>2026-10-12</x:v>
      </x:c>
      <x:c r="G848" s="7" t="str">
        <x:v>2026-10-28</x:v>
      </x:c>
      <x:c r="H848" s="7" t="n">
        <x:v>6</x:v>
      </x:c>
      <x:c r="I848" s="7" t="n">
        <x:v>13</x:v>
      </x:c>
      <x:c r="J848" s="7" t="n">
        <x:v>6</x:v>
      </x:c>
      <x:c r="K848" s="7" t="str">
        <x:v>unverified-denominator</x:v>
      </x:c>
      <x:c r="L848" s="7" t="d">
        <x:v>2026-09-16T05:12:38.111Z</x:v>
      </x:c>
      <x:c r="M848" s="7" t="str">
        <x:v>https://apm.activecommunities.com/portlandparks/Activity_Search/mscc---polar-bear/208900?locale=en-US</x:v>
      </x:c>
    </x:row>
    <x:row r="849" ht="38" customHeight="1">
      <x:c r="A849" s="8" t="str">
        <x:v>207984</x:v>
      </x:c>
      <x:c r="B849" s="11" t="str">
        <x:v>MSCC - Polar Bear</x:v>
      </x:c>
      <x:c r="C849" s="11" t="str">
        <x:v>Mt Scott Indoor Pool</x:v>
      </x:c>
      <x:c r="D849" s="11" t="str">
        <x:v>Aquatics - Lessons</x:v>
      </x:c>
      <x:c r="E849" s="8" t="str">
        <x:v>future</x:v>
      </x:c>
      <x:c r="F849" s="8" t="str">
        <x:v>2026-10-10</x:v>
      </x:c>
      <x:c r="G849" s="8" t="str">
        <x:v>2026-12-12</x:v>
      </x:c>
      <x:c r="H849" s="8" t="n">
        <x:v>6</x:v>
      </x:c>
      <x:c r="I849" s="8" t="n">
        <x:v>17</x:v>
      </x:c>
      <x:c r="J849" s="8" t="n">
        <x:v>6</x:v>
      </x:c>
      <x:c r="K849" s="8" t="str">
        <x:v>unverified-denominator</x:v>
      </x:c>
      <x:c r="L849" s="8" t="d">
        <x:v>2026-09-16T05:12:38.111Z</x:v>
      </x:c>
      <x:c r="M849" s="8" t="str">
        <x:v>https://apm.activecommunities.com/portlandparks/Activity_Search/mscc---polar-bear/207984?locale=en-US</x:v>
      </x:c>
    </x:row>
    <x:row r="850" ht="38" customHeight="1">
      <x:c r="A850" s="7" t="str">
        <x:v>208020</x:v>
      </x:c>
      <x:c r="B850" s="12" t="str">
        <x:v>MSCC - Polar Bear</x:v>
      </x:c>
      <x:c r="C850" s="12" t="str">
        <x:v>Mt Scott Indoor Pool</x:v>
      </x:c>
      <x:c r="D850" s="12" t="str">
        <x:v>Aquatics - Lessons</x:v>
      </x:c>
      <x:c r="E850" s="7" t="str">
        <x:v>future</x:v>
      </x:c>
      <x:c r="F850" s="7" t="str">
        <x:v>2026-10-12</x:v>
      </x:c>
      <x:c r="G850" s="7" t="str">
        <x:v>2026-10-28</x:v>
      </x:c>
      <x:c r="H850" s="7" t="n">
        <x:v>6</x:v>
      </x:c>
      <x:c r="I850" s="7" t="n">
        <x:v>4</x:v>
      </x:c>
      <x:c r="J850" s="7" t="n">
        <x:v>6</x:v>
      </x:c>
      <x:c r="K850" s="7" t="str">
        <x:v>unverified-denominator</x:v>
      </x:c>
      <x:c r="L850" s="7" t="d">
        <x:v>2026-09-16T05:12:38.111Z</x:v>
      </x:c>
      <x:c r="M850" s="7" t="str">
        <x:v>https://apm.activecommunities.com/portlandparks/Activity_Search/mscc---polar-bear/208020?locale=en-US</x:v>
      </x:c>
    </x:row>
    <x:row r="851" ht="38" customHeight="1">
      <x:c r="A851" s="8" t="str">
        <x:v>208032</x:v>
      </x:c>
      <x:c r="B851" s="11" t="str">
        <x:v>MSCC - Polar Bear</x:v>
      </x:c>
      <x:c r="C851" s="11" t="str">
        <x:v>Mt Scott Indoor Pool</x:v>
      </x:c>
      <x:c r="D851" s="11" t="str">
        <x:v>Aquatics - Lessons</x:v>
      </x:c>
      <x:c r="E851" s="8" t="str">
        <x:v>future</x:v>
      </x:c>
      <x:c r="F851" s="8" t="str">
        <x:v>2026-10-15</x:v>
      </x:c>
      <x:c r="G851" s="8" t="str">
        <x:v>2026-10-29</x:v>
      </x:c>
      <x:c r="H851" s="8" t="n">
        <x:v>6</x:v>
      </x:c>
      <x:c r="I851" s="8" t="n">
        <x:v>15</x:v>
      </x:c>
      <x:c r="J851" s="8" t="n">
        <x:v>6</x:v>
      </x:c>
      <x:c r="K851" s="8" t="str">
        <x:v>unverified-denominator</x:v>
      </x:c>
      <x:c r="L851" s="8" t="d">
        <x:v>2026-09-16T05:12:38.111Z</x:v>
      </x:c>
      <x:c r="M851" s="8" t="str">
        <x:v>https://apm.activecommunities.com/portlandparks/Activity_Search/mscc---polar-bear/208032?locale=en-US</x:v>
      </x:c>
    </x:row>
    <x:row r="852" ht="38" customHeight="1">
      <x:c r="A852" s="7" t="str">
        <x:v>208072</x:v>
      </x:c>
      <x:c r="B852" s="12" t="str">
        <x:v>MSCC - Polar Bear</x:v>
      </x:c>
      <x:c r="C852" s="12" t="str">
        <x:v>Mt Scott Indoor Pool</x:v>
      </x:c>
      <x:c r="D852" s="12" t="str">
        <x:v>Aquatics - Lessons</x:v>
      </x:c>
      <x:c r="E852" s="7" t="str">
        <x:v>future</x:v>
      </x:c>
      <x:c r="F852" s="7" t="str">
        <x:v>2026-11-03</x:v>
      </x:c>
      <x:c r="G852" s="7" t="str">
        <x:v>2026-12-10</x:v>
      </x:c>
      <x:c r="H852" s="7" t="n">
        <x:v>0</x:v>
      </x:c>
      <x:c r="I852" s="7"/>
      <x:c r="J852" s="7" t="n">
        <x:v>6</x:v>
      </x:c>
      <x:c r="K852" s="7" t="str">
        <x:v>unverified-denominator</x:v>
      </x:c>
      <x:c r="L852" s="7" t="d">
        <x:v>2026-09-16T05:12:38.111Z</x:v>
      </x:c>
      <x:c r="M852" s="7" t="str">
        <x:v>https://apm.activecommunities.com/portlandparks/Activity_Search/mscc---polar-bear/208072?locale=en-US</x:v>
      </x:c>
    </x:row>
    <x:row r="853" ht="38" customHeight="1">
      <x:c r="A853" s="8" t="str">
        <x:v>208052</x:v>
      </x:c>
      <x:c r="B853" s="11" t="str">
        <x:v>MSCC - Polar Bear</x:v>
      </x:c>
      <x:c r="C853" s="11" t="str">
        <x:v>Mt Scott Indoor Pool</x:v>
      </x:c>
      <x:c r="D853" s="11" t="str">
        <x:v>Aquatics - Lessons</x:v>
      </x:c>
      <x:c r="E853" s="8" t="str">
        <x:v>future</x:v>
      </x:c>
      <x:c r="F853" s="8" t="str">
        <x:v>2026-11-02</x:v>
      </x:c>
      <x:c r="G853" s="8" t="str">
        <x:v>2026-12-09</x:v>
      </x:c>
      <x:c r="H853" s="8" t="n">
        <x:v>0</x:v>
      </x:c>
      <x:c r="I853" s="8"/>
      <x:c r="J853" s="8" t="n">
        <x:v>6</x:v>
      </x:c>
      <x:c r="K853" s="8" t="str">
        <x:v>unverified-denominator</x:v>
      </x:c>
      <x:c r="L853" s="8" t="d">
        <x:v>2026-09-16T05:12:38.111Z</x:v>
      </x:c>
      <x:c r="M853" s="8" t="str">
        <x:v>https://apm.activecommunities.com/portlandparks/Activity_Search/mscc---polar-bear/208052?locale=en-US</x:v>
      </x:c>
    </x:row>
    <x:row r="854" ht="38" customHeight="1">
      <x:c r="A854" s="7" t="str">
        <x:v>208053</x:v>
      </x:c>
      <x:c r="B854" s="12" t="str">
        <x:v>MSCC - Pre - Otter</x:v>
      </x:c>
      <x:c r="C854" s="12" t="str">
        <x:v>Mt Scott Indoor Pool</x:v>
      </x:c>
      <x:c r="D854" s="12" t="str">
        <x:v>Aquatics - Lessons</x:v>
      </x:c>
      <x:c r="E854" s="7" t="str">
        <x:v>future</x:v>
      </x:c>
      <x:c r="F854" s="7" t="str">
        <x:v>2026-11-02</x:v>
      </x:c>
      <x:c r="G854" s="7" t="str">
        <x:v>2026-12-09</x:v>
      </x:c>
      <x:c r="H854" s="7" t="n">
        <x:v>0</x:v>
      </x:c>
      <x:c r="I854" s="7"/>
      <x:c r="J854" s="7" t="n">
        <x:v>6</x:v>
      </x:c>
      <x:c r="K854" s="7" t="str">
        <x:v>unverified-denominator</x:v>
      </x:c>
      <x:c r="L854" s="7" t="d">
        <x:v>2026-09-16T05:12:38.111Z</x:v>
      </x:c>
      <x:c r="M854" s="7" t="str">
        <x:v>https://apm.activecommunities.com/portlandparks/Activity_Search/mscc---pre---otter/208053?locale=en-US</x:v>
      </x:c>
    </x:row>
    <x:row r="855" ht="38" customHeight="1">
      <x:c r="A855" s="8" t="str">
        <x:v>208049</x:v>
      </x:c>
      <x:c r="B855" s="11" t="str">
        <x:v>MSCC - Pre - Otter</x:v>
      </x:c>
      <x:c r="C855" s="11" t="str">
        <x:v>Mt Scott Indoor Pool</x:v>
      </x:c>
      <x:c r="D855" s="11" t="str">
        <x:v>Aquatics - Lessons</x:v>
      </x:c>
      <x:c r="E855" s="8" t="str">
        <x:v>future</x:v>
      </x:c>
      <x:c r="F855" s="8" t="str">
        <x:v>2026-10-15</x:v>
      </x:c>
      <x:c r="G855" s="8" t="str">
        <x:v>2026-10-29</x:v>
      </x:c>
      <x:c r="H855" s="8" t="n">
        <x:v>3</x:v>
      </x:c>
      <x:c r="I855" s="8"/>
      <x:c r="J855" s="8" t="n">
        <x:v>6</x:v>
      </x:c>
      <x:c r="K855" s="8" t="str">
        <x:v>unverified-denominator</x:v>
      </x:c>
      <x:c r="L855" s="8" t="d">
        <x:v>2026-09-16T05:12:38.111Z</x:v>
      </x:c>
      <x:c r="M855" s="8" t="str">
        <x:v>https://apm.activecommunities.com/portlandparks/Activity_Search/mscc---pre---otter/208049?locale=en-US</x:v>
      </x:c>
    </x:row>
    <x:row r="856" ht="38" customHeight="1">
      <x:c r="A856" s="7" t="str">
        <x:v>208073</x:v>
      </x:c>
      <x:c r="B856" s="12" t="str">
        <x:v>MSCC - Pre - Otter</x:v>
      </x:c>
      <x:c r="C856" s="12" t="str">
        <x:v>Mt Scott Indoor Pool</x:v>
      </x:c>
      <x:c r="D856" s="12" t="str">
        <x:v>Aquatics - Lessons</x:v>
      </x:c>
      <x:c r="E856" s="7" t="str">
        <x:v>future</x:v>
      </x:c>
      <x:c r="F856" s="7" t="str">
        <x:v>2026-11-03</x:v>
      </x:c>
      <x:c r="G856" s="7" t="str">
        <x:v>2026-12-10</x:v>
      </x:c>
      <x:c r="H856" s="7" t="n">
        <x:v>0</x:v>
      </x:c>
      <x:c r="I856" s="7"/>
      <x:c r="J856" s="7" t="n">
        <x:v>6</x:v>
      </x:c>
      <x:c r="K856" s="7" t="str">
        <x:v>unverified-denominator</x:v>
      </x:c>
      <x:c r="L856" s="7" t="d">
        <x:v>2026-09-16T05:12:38.111Z</x:v>
      </x:c>
      <x:c r="M856" s="7" t="str">
        <x:v>https://apm.activecommunities.com/portlandparks/Activity_Search/mscc---pre---otter/208073?locale=en-US</x:v>
      </x:c>
    </x:row>
    <x:row r="857" ht="38" customHeight="1">
      <x:c r="A857" s="8" t="str">
        <x:v>208069</x:v>
      </x:c>
      <x:c r="B857" s="11" t="str">
        <x:v>MSCC - Pre - Otter</x:v>
      </x:c>
      <x:c r="C857" s="11" t="str">
        <x:v>Mt Scott Indoor Pool</x:v>
      </x:c>
      <x:c r="D857" s="11" t="str">
        <x:v>Aquatics - Lessons</x:v>
      </x:c>
      <x:c r="E857" s="8" t="str">
        <x:v>future</x:v>
      </x:c>
      <x:c r="F857" s="8" t="str">
        <x:v>2026-11-03</x:v>
      </x:c>
      <x:c r="G857" s="8" t="str">
        <x:v>2026-12-10</x:v>
      </x:c>
      <x:c r="H857" s="8" t="n">
        <x:v>0</x:v>
      </x:c>
      <x:c r="I857" s="8"/>
      <x:c r="J857" s="8" t="n">
        <x:v>6</x:v>
      </x:c>
      <x:c r="K857" s="8" t="str">
        <x:v>unverified-denominator</x:v>
      </x:c>
      <x:c r="L857" s="8" t="d">
        <x:v>2026-09-16T05:12:38.111Z</x:v>
      </x:c>
      <x:c r="M857" s="8" t="str">
        <x:v>https://apm.activecommunities.com/portlandparks/Activity_Search/mscc---pre---otter/208069?locale=en-US</x:v>
      </x:c>
    </x:row>
    <x:row r="858" ht="38" customHeight="1">
      <x:c r="A858" s="7" t="str">
        <x:v>208033</x:v>
      </x:c>
      <x:c r="B858" s="12" t="str">
        <x:v>MSCC - Pre - Otter</x:v>
      </x:c>
      <x:c r="C858" s="12" t="str">
        <x:v>Mt Scott Indoor Pool</x:v>
      </x:c>
      <x:c r="D858" s="12" t="str">
        <x:v>Aquatics - Lessons</x:v>
      </x:c>
      <x:c r="E858" s="7" t="str">
        <x:v>future</x:v>
      </x:c>
      <x:c r="F858" s="7" t="str">
        <x:v>2026-10-15</x:v>
      </x:c>
      <x:c r="G858" s="7" t="str">
        <x:v>2026-10-29</x:v>
      </x:c>
      <x:c r="H858" s="7" t="n">
        <x:v>6</x:v>
      </x:c>
      <x:c r="I858" s="7" t="n">
        <x:v>7</x:v>
      </x:c>
      <x:c r="J858" s="7" t="n">
        <x:v>6</x:v>
      </x:c>
      <x:c r="K858" s="7" t="str">
        <x:v>unverified-denominator</x:v>
      </x:c>
      <x:c r="L858" s="7" t="d">
        <x:v>2026-09-16T05:12:38.111Z</x:v>
      </x:c>
      <x:c r="M858" s="7" t="str">
        <x:v>https://apm.activecommunities.com/portlandparks/Activity_Search/mscc---pre---otter/208033?locale=en-US</x:v>
      </x:c>
    </x:row>
    <x:row r="859" ht="38" customHeight="1">
      <x:c r="A859" s="8" t="str">
        <x:v>208021</x:v>
      </x:c>
      <x:c r="B859" s="11" t="str">
        <x:v>MSCC - Pre - Otter</x:v>
      </x:c>
      <x:c r="C859" s="11" t="str">
        <x:v>Mt Scott Indoor Pool</x:v>
      </x:c>
      <x:c r="D859" s="11" t="str">
        <x:v>Aquatics - Lessons</x:v>
      </x:c>
      <x:c r="E859" s="8" t="str">
        <x:v>future</x:v>
      </x:c>
      <x:c r="F859" s="8" t="str">
        <x:v>2026-10-12</x:v>
      </x:c>
      <x:c r="G859" s="8" t="str">
        <x:v>2026-10-28</x:v>
      </x:c>
      <x:c r="H859" s="8" t="n">
        <x:v>6</x:v>
      </x:c>
      <x:c r="I859" s="8" t="n">
        <x:v>13</x:v>
      </x:c>
      <x:c r="J859" s="8" t="n">
        <x:v>6</x:v>
      </x:c>
      <x:c r="K859" s="8" t="str">
        <x:v>unverified-denominator</x:v>
      </x:c>
      <x:c r="L859" s="8" t="d">
        <x:v>2026-09-16T05:12:38.111Z</x:v>
      </x:c>
      <x:c r="M859" s="8" t="str">
        <x:v>https://apm.activecommunities.com/portlandparks/Activity_Search/mscc---pre---otter/208021?locale=en-US</x:v>
      </x:c>
    </x:row>
    <x:row r="860" ht="38" customHeight="1">
      <x:c r="A860" s="7" t="str">
        <x:v>207981</x:v>
      </x:c>
      <x:c r="B860" s="12" t="str">
        <x:v>MSCC - Pre - Otter</x:v>
      </x:c>
      <x:c r="C860" s="12" t="str">
        <x:v>Mt Scott Indoor Pool</x:v>
      </x:c>
      <x:c r="D860" s="12" t="str">
        <x:v>Aquatics - Lessons</x:v>
      </x:c>
      <x:c r="E860" s="7" t="str">
        <x:v>future</x:v>
      </x:c>
      <x:c r="F860" s="7" t="str">
        <x:v>2026-10-10</x:v>
      </x:c>
      <x:c r="G860" s="7" t="str">
        <x:v>2026-12-12</x:v>
      </x:c>
      <x:c r="H860" s="7" t="n">
        <x:v>6</x:v>
      </x:c>
      <x:c r="I860" s="7" t="n">
        <x:v>8</x:v>
      </x:c>
      <x:c r="J860" s="7" t="n">
        <x:v>6</x:v>
      </x:c>
      <x:c r="K860" s="7" t="str">
        <x:v>unverified-denominator</x:v>
      </x:c>
      <x:c r="L860" s="7" t="d">
        <x:v>2026-09-16T05:12:38.111Z</x:v>
      </x:c>
      <x:c r="M860" s="7" t="str">
        <x:v>https://apm.activecommunities.com/portlandparks/Activity_Search/mscc---pre---otter/207981?locale=en-US</x:v>
      </x:c>
    </x:row>
    <x:row r="861" ht="38" customHeight="1">
      <x:c r="A861" s="8" t="str">
        <x:v>208899</x:v>
      </x:c>
      <x:c r="B861" s="11" t="str">
        <x:v>MSCC - Pre - Otter</x:v>
      </x:c>
      <x:c r="C861" s="11" t="str">
        <x:v>Mt Scott Indoor Pool</x:v>
      </x:c>
      <x:c r="D861" s="11" t="str">
        <x:v>Aquatics - Lessons</x:v>
      </x:c>
      <x:c r="E861" s="8" t="str">
        <x:v>future</x:v>
      </x:c>
      <x:c r="F861" s="8" t="str">
        <x:v>2026-10-12</x:v>
      </x:c>
      <x:c r="G861" s="8" t="str">
        <x:v>2026-10-28</x:v>
      </x:c>
      <x:c r="H861" s="8" t="n">
        <x:v>6</x:v>
      </x:c>
      <x:c r="I861" s="8" t="n">
        <x:v>5</x:v>
      </x:c>
      <x:c r="J861" s="8" t="n">
        <x:v>6</x:v>
      </x:c>
      <x:c r="K861" s="8" t="str">
        <x:v>unverified-denominator</x:v>
      </x:c>
      <x:c r="L861" s="8" t="d">
        <x:v>2026-09-16T05:12:38.111Z</x:v>
      </x:c>
      <x:c r="M861" s="8" t="str">
        <x:v>https://apm.activecommunities.com/portlandparks/Activity_Search/mscc---pre---otter/208899?locale=en-US</x:v>
      </x:c>
    </x:row>
    <x:row r="862" ht="38" customHeight="1">
      <x:c r="A862" s="7" t="str">
        <x:v>208989</x:v>
      </x:c>
      <x:c r="B862" s="12" t="str">
        <x:v>MSCC - Pre - Otter</x:v>
      </x:c>
      <x:c r="C862" s="12" t="str">
        <x:v>Mt Scott Indoor Pool</x:v>
      </x:c>
      <x:c r="D862" s="12" t="str">
        <x:v>Aquatics - Lessons</x:v>
      </x:c>
      <x:c r="E862" s="7" t="str">
        <x:v>future</x:v>
      </x:c>
      <x:c r="F862" s="7" t="str">
        <x:v>2026-10-10</x:v>
      </x:c>
      <x:c r="G862" s="7" t="str">
        <x:v>2026-12-12</x:v>
      </x:c>
      <x:c r="H862" s="7" t="n">
        <x:v>6</x:v>
      </x:c>
      <x:c r="I862" s="7" t="n">
        <x:v>5</x:v>
      </x:c>
      <x:c r="J862" s="7" t="n">
        <x:v>6</x:v>
      </x:c>
      <x:c r="K862" s="7" t="str">
        <x:v>unverified-denominator</x:v>
      </x:c>
      <x:c r="L862" s="7" t="d">
        <x:v>2026-09-16T05:12:38.111Z</x:v>
      </x:c>
      <x:c r="M862" s="7" t="str">
        <x:v>https://apm.activecommunities.com/portlandparks/Activity_Search/mscc---pre---otter/208989?locale=en-US</x:v>
      </x:c>
    </x:row>
    <x:row r="863" ht="38" customHeight="1">
      <x:c r="A863" s="8" t="str">
        <x:v>208986</x:v>
      </x:c>
      <x:c r="B863" s="11" t="str">
        <x:v>MSCC - Pre - Otter</x:v>
      </x:c>
      <x:c r="C863" s="11" t="str">
        <x:v>Mt Scott Indoor Pool</x:v>
      </x:c>
      <x:c r="D863" s="11" t="str">
        <x:v>Aquatics - Lessons</x:v>
      </x:c>
      <x:c r="E863" s="8" t="str">
        <x:v>future</x:v>
      </x:c>
      <x:c r="F863" s="8" t="str">
        <x:v>2026-10-10</x:v>
      </x:c>
      <x:c r="G863" s="8" t="str">
        <x:v>2026-12-12</x:v>
      </x:c>
      <x:c r="H863" s="8" t="n">
        <x:v>6</x:v>
      </x:c>
      <x:c r="I863" s="8" t="n">
        <x:v>3</x:v>
      </x:c>
      <x:c r="J863" s="8" t="n">
        <x:v>6</x:v>
      </x:c>
      <x:c r="K863" s="8" t="str">
        <x:v>unverified-denominator</x:v>
      </x:c>
      <x:c r="L863" s="8" t="d">
        <x:v>2026-09-16T05:12:38.111Z</x:v>
      </x:c>
      <x:c r="M863" s="8" t="str">
        <x:v>https://apm.activecommunities.com/portlandparks/Activity_Search/mscc---pre---otter/208986?locale=en-US</x:v>
      </x:c>
    </x:row>
    <x:row r="864" ht="38" customHeight="1">
      <x:c r="A864" s="7" t="str">
        <x:v>208886</x:v>
      </x:c>
      <x:c r="B864" s="12" t="str">
        <x:v>MSCC - Pre - Otter</x:v>
      </x:c>
      <x:c r="C864" s="12" t="str">
        <x:v>Mt Scott Indoor Pool</x:v>
      </x:c>
      <x:c r="D864" s="12" t="str">
        <x:v>Aquatics - Lessons</x:v>
      </x:c>
      <x:c r="E864" s="7" t="str">
        <x:v>future</x:v>
      </x:c>
      <x:c r="F864" s="7" t="str">
        <x:v>2026-10-15</x:v>
      </x:c>
      <x:c r="G864" s="7" t="str">
        <x:v>2026-10-29</x:v>
      </x:c>
      <x:c r="H864" s="7" t="n">
        <x:v>6</x:v>
      </x:c>
      <x:c r="I864" s="7" t="n">
        <x:v>2</x:v>
      </x:c>
      <x:c r="J864" s="7" t="n">
        <x:v>6</x:v>
      </x:c>
      <x:c r="K864" s="7" t="str">
        <x:v>unverified-denominator</x:v>
      </x:c>
      <x:c r="L864" s="7" t="d">
        <x:v>2026-09-16T05:12:38.111Z</x:v>
      </x:c>
      <x:c r="M864" s="7" t="str">
        <x:v>https://apm.activecommunities.com/portlandparks/Activity_Search/mscc---pre---otter/208886?locale=en-US</x:v>
      </x:c>
    </x:row>
    <x:row r="865" ht="38" customHeight="1">
      <x:c r="A865" s="8" t="str">
        <x:v>208895</x:v>
      </x:c>
      <x:c r="B865" s="11" t="str">
        <x:v>MSCC - Pre - Penguin</x:v>
      </x:c>
      <x:c r="C865" s="11" t="str">
        <x:v>Mt Scott Indoor Pool</x:v>
      </x:c>
      <x:c r="D865" s="11" t="str">
        <x:v>Aquatics - Lessons</x:v>
      </x:c>
      <x:c r="E865" s="8" t="str">
        <x:v>future</x:v>
      </x:c>
      <x:c r="F865" s="8" t="str">
        <x:v>2026-10-12</x:v>
      </x:c>
      <x:c r="G865" s="8" t="str">
        <x:v>2026-10-28</x:v>
      </x:c>
      <x:c r="H865" s="8" t="n">
        <x:v>5</x:v>
      </x:c>
      <x:c r="I865" s="8" t="n">
        <x:v>3</x:v>
      </x:c>
      <x:c r="J865" s="8" t="n">
        <x:v>5</x:v>
      </x:c>
      <x:c r="K865" s="8" t="str">
        <x:v>unverified-denominator</x:v>
      </x:c>
      <x:c r="L865" s="8" t="d">
        <x:v>2026-09-16T05:12:38.111Z</x:v>
      </x:c>
      <x:c r="M865" s="8" t="str">
        <x:v>https://apm.activecommunities.com/portlandparks/Activity_Search/mscc---pre---penguin/208895?locale=en-US</x:v>
      </x:c>
    </x:row>
    <x:row r="866" ht="38" customHeight="1">
      <x:c r="A866" s="7" t="str">
        <x:v>208984</x:v>
      </x:c>
      <x:c r="B866" s="12" t="str">
        <x:v>MSCC - Pre - Penguin</x:v>
      </x:c>
      <x:c r="C866" s="12" t="str">
        <x:v>Mt Scott Indoor Pool</x:v>
      </x:c>
      <x:c r="D866" s="12" t="str">
        <x:v>Aquatics - Lessons</x:v>
      </x:c>
      <x:c r="E866" s="7" t="str">
        <x:v>future</x:v>
      </x:c>
      <x:c r="F866" s="7" t="str">
        <x:v>2026-10-10</x:v>
      </x:c>
      <x:c r="G866" s="7" t="str">
        <x:v>2026-12-12</x:v>
      </x:c>
      <x:c r="H866" s="7" t="n">
        <x:v>5</x:v>
      </x:c>
      <x:c r="I866" s="7" t="n">
        <x:v>5</x:v>
      </x:c>
      <x:c r="J866" s="7" t="n">
        <x:v>5</x:v>
      </x:c>
      <x:c r="K866" s="7" t="str">
        <x:v>unverified-denominator</x:v>
      </x:c>
      <x:c r="L866" s="7" t="d">
        <x:v>2026-09-16T05:12:38.111Z</x:v>
      </x:c>
      <x:c r="M866" s="7" t="str">
        <x:v>https://apm.activecommunities.com/portlandparks/Activity_Search/mscc---pre---penguin/208984?locale=en-US</x:v>
      </x:c>
    </x:row>
    <x:row r="867" ht="38" customHeight="1">
      <x:c r="A867" s="8" t="str">
        <x:v>208907</x:v>
      </x:c>
      <x:c r="B867" s="11" t="str">
        <x:v>MSCC - Pre - Penguin</x:v>
      </x:c>
      <x:c r="C867" s="11" t="str">
        <x:v>Mt Scott Indoor Pool</x:v>
      </x:c>
      <x:c r="D867" s="11" t="str">
        <x:v>Aquatics - Lessons</x:v>
      </x:c>
      <x:c r="E867" s="8" t="str">
        <x:v>future</x:v>
      </x:c>
      <x:c r="F867" s="8" t="str">
        <x:v>2026-10-10</x:v>
      </x:c>
      <x:c r="G867" s="8" t="str">
        <x:v>2026-12-12</x:v>
      </x:c>
      <x:c r="H867" s="8" t="n">
        <x:v>5</x:v>
      </x:c>
      <x:c r="I867" s="8" t="n">
        <x:v>3</x:v>
      </x:c>
      <x:c r="J867" s="8" t="n">
        <x:v>5</x:v>
      </x:c>
      <x:c r="K867" s="8" t="str">
        <x:v>unverified-denominator</x:v>
      </x:c>
      <x:c r="L867" s="8" t="d">
        <x:v>2026-09-16T05:12:38.111Z</x:v>
      </x:c>
      <x:c r="M867" s="8" t="str">
        <x:v>https://apm.activecommunities.com/portlandparks/Activity_Search/mscc---pre---penguin/208907?locale=en-US</x:v>
      </x:c>
    </x:row>
    <x:row r="868" ht="38" customHeight="1">
      <x:c r="A868" s="7" t="str">
        <x:v>208882</x:v>
      </x:c>
      <x:c r="B868" s="12" t="str">
        <x:v>MSCC - Pre - Penguin</x:v>
      </x:c>
      <x:c r="C868" s="12" t="str">
        <x:v>Mt Scott Indoor Pool</x:v>
      </x:c>
      <x:c r="D868" s="12" t="str">
        <x:v>Aquatics - Lessons</x:v>
      </x:c>
      <x:c r="E868" s="7" t="str">
        <x:v>future</x:v>
      </x:c>
      <x:c r="F868" s="7" t="str">
        <x:v>2026-10-15</x:v>
      </x:c>
      <x:c r="G868" s="7" t="str">
        <x:v>2026-10-29</x:v>
      </x:c>
      <x:c r="H868" s="7" t="n">
        <x:v>4</x:v>
      </x:c>
      <x:c r="I868" s="7" t="n">
        <x:v>3</x:v>
      </x:c>
      <x:c r="J868" s="7" t="n">
        <x:v>5</x:v>
      </x:c>
      <x:c r="K868" s="7" t="str">
        <x:v>unverified-denominator</x:v>
      </x:c>
      <x:c r="L868" s="7" t="d">
        <x:v>2026-09-16T05:12:38.111Z</x:v>
      </x:c>
      <x:c r="M868" s="7" t="str">
        <x:v>https://apm.activecommunities.com/portlandparks/Activity_Search/mscc---pre---penguin/208882?locale=en-US</x:v>
      </x:c>
    </x:row>
    <x:row r="869" ht="38" customHeight="1">
      <x:c r="A869" s="8" t="str">
        <x:v>208991</x:v>
      </x:c>
      <x:c r="B869" s="11" t="str">
        <x:v>MSCC - Pre - Penguin</x:v>
      </x:c>
      <x:c r="C869" s="11" t="str">
        <x:v>Mt Scott Indoor Pool</x:v>
      </x:c>
      <x:c r="D869" s="11" t="str">
        <x:v>Aquatics - Lessons</x:v>
      </x:c>
      <x:c r="E869" s="8" t="str">
        <x:v>future</x:v>
      </x:c>
      <x:c r="F869" s="8" t="str">
        <x:v>2026-10-10</x:v>
      </x:c>
      <x:c r="G869" s="8" t="str">
        <x:v>2026-12-12</x:v>
      </x:c>
      <x:c r="H869" s="8" t="n">
        <x:v>5</x:v>
      </x:c>
      <x:c r="I869" s="8" t="n">
        <x:v>1</x:v>
      </x:c>
      <x:c r="J869" s="8" t="n">
        <x:v>5</x:v>
      </x:c>
      <x:c r="K869" s="8" t="str">
        <x:v>unverified-denominator</x:v>
      </x:c>
      <x:c r="L869" s="8" t="d">
        <x:v>2026-09-16T05:12:38.111Z</x:v>
      </x:c>
      <x:c r="M869" s="8" t="str">
        <x:v>https://apm.activecommunities.com/portlandparks/Activity_Search/mscc---pre---penguin/208991?locale=en-US</x:v>
      </x:c>
    </x:row>
    <x:row r="870" ht="38" customHeight="1">
      <x:c r="A870" s="7" t="str">
        <x:v>207977</x:v>
      </x:c>
      <x:c r="B870" s="12" t="str">
        <x:v>MSCC - Pre - Penguin</x:v>
      </x:c>
      <x:c r="C870" s="12" t="str">
        <x:v>Mt Scott Indoor Pool</x:v>
      </x:c>
      <x:c r="D870" s="12" t="str">
        <x:v>Aquatics - Lessons</x:v>
      </x:c>
      <x:c r="E870" s="7" t="str">
        <x:v>future</x:v>
      </x:c>
      <x:c r="F870" s="7" t="str">
        <x:v>2026-10-10</x:v>
      </x:c>
      <x:c r="G870" s="7" t="str">
        <x:v>2026-12-12</x:v>
      </x:c>
      <x:c r="H870" s="7" t="n">
        <x:v>5</x:v>
      </x:c>
      <x:c r="I870" s="7" t="n">
        <x:v>3</x:v>
      </x:c>
      <x:c r="J870" s="7" t="n">
        <x:v>5</x:v>
      </x:c>
      <x:c r="K870" s="7" t="str">
        <x:v>unverified-denominator</x:v>
      </x:c>
      <x:c r="L870" s="7" t="d">
        <x:v>2026-09-16T05:12:38.111Z</x:v>
      </x:c>
      <x:c r="M870" s="7" t="str">
        <x:v>https://apm.activecommunities.com/portlandparks/Activity_Search/mscc---pre---penguin/207977?locale=en-US</x:v>
      </x:c>
    </x:row>
    <x:row r="871" ht="38" customHeight="1">
      <x:c r="A871" s="8" t="str">
        <x:v>207986</x:v>
      </x:c>
      <x:c r="B871" s="11" t="str">
        <x:v>MSCC - Pre - Penguin</x:v>
      </x:c>
      <x:c r="C871" s="11" t="str">
        <x:v>Mt Scott Indoor Pool</x:v>
      </x:c>
      <x:c r="D871" s="11" t="str">
        <x:v>Aquatics - Lessons</x:v>
      </x:c>
      <x:c r="E871" s="8" t="str">
        <x:v>future</x:v>
      </x:c>
      <x:c r="F871" s="8" t="str">
        <x:v>2026-10-10</x:v>
      </x:c>
      <x:c r="G871" s="8" t="str">
        <x:v>2026-12-12</x:v>
      </x:c>
      <x:c r="H871" s="8" t="n">
        <x:v>5</x:v>
      </x:c>
      <x:c r="I871" s="8" t="n">
        <x:v>4</x:v>
      </x:c>
      <x:c r="J871" s="8" t="n">
        <x:v>5</x:v>
      </x:c>
      <x:c r="K871" s="8" t="str">
        <x:v>unverified-denominator</x:v>
      </x:c>
      <x:c r="L871" s="8" t="d">
        <x:v>2026-09-16T05:12:38.111Z</x:v>
      </x:c>
      <x:c r="M871" s="8" t="str">
        <x:v>https://apm.activecommunities.com/portlandparks/Activity_Search/mscc---pre---penguin/207986?locale=en-US</x:v>
      </x:c>
    </x:row>
    <x:row r="872" ht="38" customHeight="1">
      <x:c r="A872" s="7" t="str">
        <x:v>208022</x:v>
      </x:c>
      <x:c r="B872" s="12" t="str">
        <x:v>MSCC - Pre - Penguin</x:v>
      </x:c>
      <x:c r="C872" s="12" t="str">
        <x:v>Mt Scott Indoor Pool</x:v>
      </x:c>
      <x:c r="D872" s="12" t="str">
        <x:v>Aquatics - Lessons</x:v>
      </x:c>
      <x:c r="E872" s="7" t="str">
        <x:v>future</x:v>
      </x:c>
      <x:c r="F872" s="7" t="str">
        <x:v>2026-10-12</x:v>
      </x:c>
      <x:c r="G872" s="7" t="str">
        <x:v>2026-10-28</x:v>
      </x:c>
      <x:c r="H872" s="7" t="n">
        <x:v>5</x:v>
      </x:c>
      <x:c r="I872" s="7" t="n">
        <x:v>2</x:v>
      </x:c>
      <x:c r="J872" s="7" t="n">
        <x:v>5</x:v>
      </x:c>
      <x:c r="K872" s="7" t="str">
        <x:v>unverified-denominator</x:v>
      </x:c>
      <x:c r="L872" s="7" t="d">
        <x:v>2026-09-16T05:12:38.111Z</x:v>
      </x:c>
      <x:c r="M872" s="7" t="str">
        <x:v>https://apm.activecommunities.com/portlandparks/Activity_Search/mscc---pre---penguin/208022?locale=en-US</x:v>
      </x:c>
    </x:row>
    <x:row r="873" ht="38" customHeight="1">
      <x:c r="A873" s="8" t="str">
        <x:v>208034</x:v>
      </x:c>
      <x:c r="B873" s="11" t="str">
        <x:v>MSCC - Pre - Penguin</x:v>
      </x:c>
      <x:c r="C873" s="11" t="str">
        <x:v>Mt Scott Indoor Pool</x:v>
      </x:c>
      <x:c r="D873" s="11" t="str">
        <x:v>Aquatics - Lessons</x:v>
      </x:c>
      <x:c r="E873" s="8" t="str">
        <x:v>future</x:v>
      </x:c>
      <x:c r="F873" s="8" t="str">
        <x:v>2026-10-15</x:v>
      </x:c>
      <x:c r="G873" s="8" t="str">
        <x:v>2026-10-29</x:v>
      </x:c>
      <x:c r="H873" s="8" t="n">
        <x:v>4</x:v>
      </x:c>
      <x:c r="I873" s="8" t="n">
        <x:v>1</x:v>
      </x:c>
      <x:c r="J873" s="8" t="n">
        <x:v>5</x:v>
      </x:c>
      <x:c r="K873" s="8" t="str">
        <x:v>unverified-denominator</x:v>
      </x:c>
      <x:c r="L873" s="8" t="d">
        <x:v>2026-09-16T05:12:38.111Z</x:v>
      </x:c>
      <x:c r="M873" s="8" t="str">
        <x:v>https://apm.activecommunities.com/portlandparks/Activity_Search/mscc---pre---penguin/208034?locale=en-US</x:v>
      </x:c>
    </x:row>
    <x:row r="874" ht="38" customHeight="1">
      <x:c r="A874" s="7" t="str">
        <x:v>208025</x:v>
      </x:c>
      <x:c r="B874" s="12" t="str">
        <x:v>MSCC - Pre - Penguin</x:v>
      </x:c>
      <x:c r="C874" s="12" t="str">
        <x:v>Mt Scott Indoor Pool</x:v>
      </x:c>
      <x:c r="D874" s="12" t="str">
        <x:v>Aquatics - Lessons</x:v>
      </x:c>
      <x:c r="E874" s="7" t="str">
        <x:v>future</x:v>
      </x:c>
      <x:c r="F874" s="7" t="str">
        <x:v>2026-10-12</x:v>
      </x:c>
      <x:c r="G874" s="7" t="str">
        <x:v>2026-10-28</x:v>
      </x:c>
      <x:c r="H874" s="7" t="n">
        <x:v>5</x:v>
      </x:c>
      <x:c r="I874" s="7" t="n">
        <x:v>4</x:v>
      </x:c>
      <x:c r="J874" s="7" t="n">
        <x:v>5</x:v>
      </x:c>
      <x:c r="K874" s="7" t="str">
        <x:v>unverified-denominator</x:v>
      </x:c>
      <x:c r="L874" s="7" t="d">
        <x:v>2026-09-16T05:12:38.111Z</x:v>
      </x:c>
      <x:c r="M874" s="7" t="str">
        <x:v>https://apm.activecommunities.com/portlandparks/Activity_Search/mscc---pre---penguin/208025?locale=en-US</x:v>
      </x:c>
    </x:row>
    <x:row r="875" ht="38" customHeight="1">
      <x:c r="A875" s="8" t="str">
        <x:v>208043</x:v>
      </x:c>
      <x:c r="B875" s="11" t="str">
        <x:v>MSCC - Pre - Penguin</x:v>
      </x:c>
      <x:c r="C875" s="11" t="str">
        <x:v>Mt Scott Indoor Pool</x:v>
      </x:c>
      <x:c r="D875" s="11" t="str">
        <x:v>Aquatics - Lessons</x:v>
      </x:c>
      <x:c r="E875" s="8" t="str">
        <x:v>future</x:v>
      </x:c>
      <x:c r="F875" s="8" t="str">
        <x:v>2026-10-15</x:v>
      </x:c>
      <x:c r="G875" s="8" t="str">
        <x:v>2026-10-29</x:v>
      </x:c>
      <x:c r="H875" s="8" t="n">
        <x:v>5</x:v>
      </x:c>
      <x:c r="I875" s="8"/>
      <x:c r="J875" s="8" t="n">
        <x:v>5</x:v>
      </x:c>
      <x:c r="K875" s="8" t="str">
        <x:v>unverified-denominator</x:v>
      </x:c>
      <x:c r="L875" s="8" t="d">
        <x:v>2026-09-16T05:12:38.111Z</x:v>
      </x:c>
      <x:c r="M875" s="8" t="str">
        <x:v>https://apm.activecommunities.com/portlandparks/Activity_Search/mscc---pre---penguin/208043?locale=en-US</x:v>
      </x:c>
    </x:row>
    <x:row r="876" ht="38" customHeight="1">
      <x:c r="A876" s="7" t="str">
        <x:v>208037</x:v>
      </x:c>
      <x:c r="B876" s="12" t="str">
        <x:v>MSCC - Pre - Penguin</x:v>
      </x:c>
      <x:c r="C876" s="12" t="str">
        <x:v>Mt Scott Indoor Pool</x:v>
      </x:c>
      <x:c r="D876" s="12" t="str">
        <x:v>Aquatics - Lessons</x:v>
      </x:c>
      <x:c r="E876" s="7" t="str">
        <x:v>future</x:v>
      </x:c>
      <x:c r="F876" s="7" t="str">
        <x:v>2026-10-15</x:v>
      </x:c>
      <x:c r="G876" s="7" t="str">
        <x:v>2026-10-29</x:v>
      </x:c>
      <x:c r="H876" s="7" t="n">
        <x:v>5</x:v>
      </x:c>
      <x:c r="I876" s="7"/>
      <x:c r="J876" s="7" t="n">
        <x:v>5</x:v>
      </x:c>
      <x:c r="K876" s="7" t="str">
        <x:v>unverified-denominator</x:v>
      </x:c>
      <x:c r="L876" s="7" t="d">
        <x:v>2026-09-16T05:12:38.111Z</x:v>
      </x:c>
      <x:c r="M876" s="7" t="str">
        <x:v>https://apm.activecommunities.com/portlandparks/Activity_Search/mscc---pre---penguin/208037?locale=en-US</x:v>
      </x:c>
    </x:row>
    <x:row r="877" ht="38" customHeight="1">
      <x:c r="A877" s="8" t="str">
        <x:v>208077</x:v>
      </x:c>
      <x:c r="B877" s="11" t="str">
        <x:v>MSCC - Pre - Penguin</x:v>
      </x:c>
      <x:c r="C877" s="11" t="str">
        <x:v>Mt Scott Indoor Pool</x:v>
      </x:c>
      <x:c r="D877" s="11" t="str">
        <x:v>Aquatics - Lessons</x:v>
      </x:c>
      <x:c r="E877" s="8" t="str">
        <x:v>future</x:v>
      </x:c>
      <x:c r="F877" s="8" t="str">
        <x:v>2026-11-03</x:v>
      </x:c>
      <x:c r="G877" s="8" t="str">
        <x:v>2026-12-10</x:v>
      </x:c>
      <x:c r="H877" s="8" t="n">
        <x:v>0</x:v>
      </x:c>
      <x:c r="I877" s="8"/>
      <x:c r="J877" s="8" t="n">
        <x:v>5</x:v>
      </x:c>
      <x:c r="K877" s="8" t="str">
        <x:v>unverified-denominator</x:v>
      </x:c>
      <x:c r="L877" s="8" t="d">
        <x:v>2026-09-16T05:12:38.111Z</x:v>
      </x:c>
      <x:c r="M877" s="8" t="str">
        <x:v>https://apm.activecommunities.com/portlandparks/Activity_Search/mscc---pre---penguin/208077?locale=en-US</x:v>
      </x:c>
    </x:row>
    <x:row r="878" ht="38" customHeight="1">
      <x:c r="A878" s="7" t="str">
        <x:v>208074</x:v>
      </x:c>
      <x:c r="B878" s="12" t="str">
        <x:v>MSCC - Pre - Penguin</x:v>
      </x:c>
      <x:c r="C878" s="12" t="str">
        <x:v>Mt Scott Indoor Pool</x:v>
      </x:c>
      <x:c r="D878" s="12" t="str">
        <x:v>Aquatics - Lessons</x:v>
      </x:c>
      <x:c r="E878" s="7" t="str">
        <x:v>future</x:v>
      </x:c>
      <x:c r="F878" s="7" t="str">
        <x:v>2026-11-03</x:v>
      </x:c>
      <x:c r="G878" s="7" t="str">
        <x:v>2026-12-10</x:v>
      </x:c>
      <x:c r="H878" s="7" t="n">
        <x:v>0</x:v>
      </x:c>
      <x:c r="I878" s="7"/>
      <x:c r="J878" s="7" t="n">
        <x:v>5</x:v>
      </x:c>
      <x:c r="K878" s="7" t="str">
        <x:v>unverified-denominator</x:v>
      </x:c>
      <x:c r="L878" s="7" t="d">
        <x:v>2026-09-16T05:12:38.111Z</x:v>
      </x:c>
      <x:c r="M878" s="7" t="str">
        <x:v>https://apm.activecommunities.com/portlandparks/Activity_Search/mscc---pre---penguin/208074?locale=en-US</x:v>
      </x:c>
    </x:row>
    <x:row r="879" ht="38" customHeight="1">
      <x:c r="A879" s="8" t="str">
        <x:v>208057</x:v>
      </x:c>
      <x:c r="B879" s="11" t="str">
        <x:v>MSCC - Pre - Penguin</x:v>
      </x:c>
      <x:c r="C879" s="11" t="str">
        <x:v>Mt Scott Indoor Pool</x:v>
      </x:c>
      <x:c r="D879" s="11" t="str">
        <x:v>Aquatics - Lessons</x:v>
      </x:c>
      <x:c r="E879" s="8" t="str">
        <x:v>future</x:v>
      </x:c>
      <x:c r="F879" s="8" t="str">
        <x:v>2026-11-02</x:v>
      </x:c>
      <x:c r="G879" s="8" t="str">
        <x:v>2026-12-09</x:v>
      </x:c>
      <x:c r="H879" s="8" t="n">
        <x:v>0</x:v>
      </x:c>
      <x:c r="I879" s="8"/>
      <x:c r="J879" s="8" t="n">
        <x:v>5</x:v>
      </x:c>
      <x:c r="K879" s="8" t="str">
        <x:v>unverified-denominator</x:v>
      </x:c>
      <x:c r="L879" s="8" t="d">
        <x:v>2026-09-16T05:12:38.111Z</x:v>
      </x:c>
      <x:c r="M879" s="8" t="str">
        <x:v>https://apm.activecommunities.com/portlandparks/Activity_Search/mscc---pre---penguin/208057?locale=en-US</x:v>
      </x:c>
    </x:row>
    <x:row r="880" ht="38" customHeight="1">
      <x:c r="A880" s="7" t="str">
        <x:v>208063</x:v>
      </x:c>
      <x:c r="B880" s="12" t="str">
        <x:v>MSCC - Pre - Penguin</x:v>
      </x:c>
      <x:c r="C880" s="12" t="str">
        <x:v>Mt Scott Indoor Pool</x:v>
      </x:c>
      <x:c r="D880" s="12" t="str">
        <x:v>Aquatics - Lessons</x:v>
      </x:c>
      <x:c r="E880" s="7" t="str">
        <x:v>future</x:v>
      </x:c>
      <x:c r="F880" s="7" t="str">
        <x:v>2026-11-03</x:v>
      </x:c>
      <x:c r="G880" s="7" t="str">
        <x:v>2026-12-10</x:v>
      </x:c>
      <x:c r="H880" s="7" t="n">
        <x:v>0</x:v>
      </x:c>
      <x:c r="I880" s="7"/>
      <x:c r="J880" s="7" t="n">
        <x:v>5</x:v>
      </x:c>
      <x:c r="K880" s="7" t="str">
        <x:v>unverified-denominator</x:v>
      </x:c>
      <x:c r="L880" s="7" t="d">
        <x:v>2026-09-16T05:12:38.111Z</x:v>
      </x:c>
      <x:c r="M880" s="7" t="str">
        <x:v>https://apm.activecommunities.com/portlandparks/Activity_Search/mscc---pre---penguin/208063?locale=en-US</x:v>
      </x:c>
    </x:row>
    <x:row r="881" ht="38" customHeight="1">
      <x:c r="A881" s="8" t="str">
        <x:v>208054</x:v>
      </x:c>
      <x:c r="B881" s="11" t="str">
        <x:v>MSCC - Pre - Penguin</x:v>
      </x:c>
      <x:c r="C881" s="11" t="str">
        <x:v>Mt Scott Indoor Pool</x:v>
      </x:c>
      <x:c r="D881" s="11" t="str">
        <x:v>Aquatics - Lessons</x:v>
      </x:c>
      <x:c r="E881" s="8" t="str">
        <x:v>future</x:v>
      </x:c>
      <x:c r="F881" s="8" t="str">
        <x:v>2026-11-02</x:v>
      </x:c>
      <x:c r="G881" s="8" t="str">
        <x:v>2026-12-09</x:v>
      </x:c>
      <x:c r="H881" s="8" t="n">
        <x:v>0</x:v>
      </x:c>
      <x:c r="I881" s="8"/>
      <x:c r="J881" s="8" t="n">
        <x:v>5</x:v>
      </x:c>
      <x:c r="K881" s="8" t="str">
        <x:v>unverified-denominator</x:v>
      </x:c>
      <x:c r="L881" s="8" t="d">
        <x:v>2026-09-16T05:12:38.111Z</x:v>
      </x:c>
      <x:c r="M881" s="8" t="str">
        <x:v>https://apm.activecommunities.com/portlandparks/Activity_Search/mscc---pre---penguin/208054?locale=en-US</x:v>
      </x:c>
    </x:row>
    <x:row r="882" ht="38" customHeight="1">
      <x:c r="A882" s="7" t="str">
        <x:v>208035</x:v>
      </x:c>
      <x:c r="B882" s="12" t="str">
        <x:v>MSCC - Sea Lion</x:v>
      </x:c>
      <x:c r="C882" s="12" t="str">
        <x:v>Mt Scott Indoor Pool</x:v>
      </x:c>
      <x:c r="D882" s="12" t="str">
        <x:v>Aquatics - Lessons</x:v>
      </x:c>
      <x:c r="E882" s="7" t="str">
        <x:v>future</x:v>
      </x:c>
      <x:c r="F882" s="7" t="str">
        <x:v>2026-10-15</x:v>
      </x:c>
      <x:c r="G882" s="7" t="str">
        <x:v>2026-10-29</x:v>
      </x:c>
      <x:c r="H882" s="7" t="n">
        <x:v>7</x:v>
      </x:c>
      <x:c r="I882" s="7"/>
      <x:c r="J882" s="7" t="n">
        <x:v>8</x:v>
      </x:c>
      <x:c r="K882" s="7" t="str">
        <x:v>unverified-denominator</x:v>
      </x:c>
      <x:c r="L882" s="7" t="d">
        <x:v>2026-09-16T05:12:38.111Z</x:v>
      </x:c>
      <x:c r="M882" s="7" t="str">
        <x:v>https://apm.activecommunities.com/portlandparks/Activity_Search/mscc---sea-lion/208035?locale=en-US</x:v>
      </x:c>
    </x:row>
    <x:row r="883" ht="38" customHeight="1">
      <x:c r="A883" s="8" t="str">
        <x:v>208023</x:v>
      </x:c>
      <x:c r="B883" s="11" t="str">
        <x:v>MSCC - Sea Lion</x:v>
      </x:c>
      <x:c r="C883" s="11" t="str">
        <x:v>Mt Scott Indoor Pool</x:v>
      </x:c>
      <x:c r="D883" s="11" t="str">
        <x:v>Aquatics - Lessons</x:v>
      </x:c>
      <x:c r="E883" s="8" t="str">
        <x:v>future</x:v>
      </x:c>
      <x:c r="F883" s="8" t="str">
        <x:v>2026-10-12</x:v>
      </x:c>
      <x:c r="G883" s="8" t="str">
        <x:v>2026-10-28</x:v>
      </x:c>
      <x:c r="H883" s="8" t="n">
        <x:v>8</x:v>
      </x:c>
      <x:c r="I883" s="8" t="n">
        <x:v>3</x:v>
      </x:c>
      <x:c r="J883" s="8" t="n">
        <x:v>8</x:v>
      </x:c>
      <x:c r="K883" s="8" t="str">
        <x:v>unverified-denominator</x:v>
      </x:c>
      <x:c r="L883" s="8" t="d">
        <x:v>2026-09-16T05:12:38.111Z</x:v>
      </x:c>
      <x:c r="M883" s="8" t="str">
        <x:v>https://apm.activecommunities.com/portlandparks/Activity_Search/mscc---sea-lion/208023?locale=en-US</x:v>
      </x:c>
    </x:row>
    <x:row r="884" ht="38" customHeight="1">
      <x:c r="A884" s="7" t="str">
        <x:v>207989</x:v>
      </x:c>
      <x:c r="B884" s="12" t="str">
        <x:v>MSCC - Sea Lion</x:v>
      </x:c>
      <x:c r="C884" s="12" t="str">
        <x:v>Mt Scott Indoor Pool</x:v>
      </x:c>
      <x:c r="D884" s="12" t="str">
        <x:v>Aquatics - Lessons</x:v>
      </x:c>
      <x:c r="E884" s="7" t="str">
        <x:v>future</x:v>
      </x:c>
      <x:c r="F884" s="7" t="str">
        <x:v>2026-10-10</x:v>
      </x:c>
      <x:c r="G884" s="7" t="str">
        <x:v>2026-12-12</x:v>
      </x:c>
      <x:c r="H884" s="7" t="n">
        <x:v>8</x:v>
      </x:c>
      <x:c r="I884" s="7" t="n">
        <x:v>6</x:v>
      </x:c>
      <x:c r="J884" s="7" t="n">
        <x:v>8</x:v>
      </x:c>
      <x:c r="K884" s="7" t="str">
        <x:v>unverified-denominator</x:v>
      </x:c>
      <x:c r="L884" s="7" t="d">
        <x:v>2026-09-16T05:12:38.111Z</x:v>
      </x:c>
      <x:c r="M884" s="7" t="str">
        <x:v>https://apm.activecommunities.com/portlandparks/Activity_Search/mscc---sea-lion/207989?locale=en-US</x:v>
      </x:c>
    </x:row>
    <x:row r="885" ht="38" customHeight="1">
      <x:c r="A885" s="8" t="str">
        <x:v>208055</x:v>
      </x:c>
      <x:c r="B885" s="11" t="str">
        <x:v>MSCC - Sea Lion</x:v>
      </x:c>
      <x:c r="C885" s="11" t="str">
        <x:v>Mt Scott Indoor Pool</x:v>
      </x:c>
      <x:c r="D885" s="11" t="str">
        <x:v>Aquatics - Lessons</x:v>
      </x:c>
      <x:c r="E885" s="8" t="str">
        <x:v>future</x:v>
      </x:c>
      <x:c r="F885" s="8" t="str">
        <x:v>2026-11-02</x:v>
      </x:c>
      <x:c r="G885" s="8" t="str">
        <x:v>2026-12-09</x:v>
      </x:c>
      <x:c r="H885" s="8" t="n">
        <x:v>0</x:v>
      </x:c>
      <x:c r="I885" s="8"/>
      <x:c r="J885" s="8" t="n">
        <x:v>8</x:v>
      </x:c>
      <x:c r="K885" s="8" t="str">
        <x:v>unverified-denominator</x:v>
      </x:c>
      <x:c r="L885" s="8" t="d">
        <x:v>2026-09-16T05:12:38.111Z</x:v>
      </x:c>
      <x:c r="M885" s="8" t="str">
        <x:v>https://apm.activecommunities.com/portlandparks/Activity_Search/mscc---sea-lion/208055?locale=en-US</x:v>
      </x:c>
    </x:row>
    <x:row r="886" ht="38" customHeight="1">
      <x:c r="A886" s="7" t="str">
        <x:v>208075</x:v>
      </x:c>
      <x:c r="B886" s="12" t="str">
        <x:v>MSCC - Sea Lion</x:v>
      </x:c>
      <x:c r="C886" s="12" t="str">
        <x:v>Mt Scott Indoor Pool</x:v>
      </x:c>
      <x:c r="D886" s="12" t="str">
        <x:v>Aquatics - Lessons</x:v>
      </x:c>
      <x:c r="E886" s="7" t="str">
        <x:v>future</x:v>
      </x:c>
      <x:c r="F886" s="7" t="str">
        <x:v>2026-11-03</x:v>
      </x:c>
      <x:c r="G886" s="7" t="str">
        <x:v>2026-12-10</x:v>
      </x:c>
      <x:c r="H886" s="7" t="n">
        <x:v>0</x:v>
      </x:c>
      <x:c r="I886" s="7"/>
      <x:c r="J886" s="7" t="n">
        <x:v>8</x:v>
      </x:c>
      <x:c r="K886" s="7" t="str">
        <x:v>unverified-denominator</x:v>
      </x:c>
      <x:c r="L886" s="7" t="d">
        <x:v>2026-09-16T05:12:38.111Z</x:v>
      </x:c>
      <x:c r="M886" s="7" t="str">
        <x:v>https://apm.activecommunities.com/portlandparks/Activity_Search/mscc---sea-lion/208075?locale=en-US</x:v>
      </x:c>
    </x:row>
    <x:row r="887" ht="38" customHeight="1">
      <x:c r="A887" s="8" t="str">
        <x:v>208985</x:v>
      </x:c>
      <x:c r="B887" s="11" t="str">
        <x:v>MSCC - Sea Lion</x:v>
      </x:c>
      <x:c r="C887" s="11" t="str">
        <x:v>Mt Scott Indoor Pool</x:v>
      </x:c>
      <x:c r="D887" s="11" t="str">
        <x:v>Aquatics - Lessons</x:v>
      </x:c>
      <x:c r="E887" s="8" t="str">
        <x:v>future</x:v>
      </x:c>
      <x:c r="F887" s="8" t="str">
        <x:v>2026-10-10</x:v>
      </x:c>
      <x:c r="G887" s="8" t="str">
        <x:v>2026-12-12</x:v>
      </x:c>
      <x:c r="H887" s="8" t="n">
        <x:v>8</x:v>
      </x:c>
      <x:c r="I887" s="8" t="n">
        <x:v>2</x:v>
      </x:c>
      <x:c r="J887" s="8" t="n">
        <x:v>8</x:v>
      </x:c>
      <x:c r="K887" s="8" t="str">
        <x:v>unverified-denominator</x:v>
      </x:c>
      <x:c r="L887" s="8" t="d">
        <x:v>2026-09-16T05:12:38.111Z</x:v>
      </x:c>
      <x:c r="M887" s="8" t="str">
        <x:v>https://apm.activecommunities.com/portlandparks/Activity_Search/mscc---sea-lion/208985?locale=en-US</x:v>
      </x:c>
    </x:row>
    <x:row r="888" ht="38" customHeight="1">
      <x:c r="A888" s="7" t="str">
        <x:v>208893</x:v>
      </x:c>
      <x:c r="B888" s="12" t="str">
        <x:v>MSCC - Sea Lion</x:v>
      </x:c>
      <x:c r="C888" s="12" t="str">
        <x:v>Mt Scott Indoor Pool</x:v>
      </x:c>
      <x:c r="D888" s="12" t="str">
        <x:v>Aquatics - Lessons</x:v>
      </x:c>
      <x:c r="E888" s="7" t="str">
        <x:v>future</x:v>
      </x:c>
      <x:c r="F888" s="7" t="str">
        <x:v>2026-10-15</x:v>
      </x:c>
      <x:c r="G888" s="7" t="str">
        <x:v>2026-10-29</x:v>
      </x:c>
      <x:c r="H888" s="7" t="n">
        <x:v>8</x:v>
      </x:c>
      <x:c r="I888" s="7"/>
      <x:c r="J888" s="7" t="n">
        <x:v>8</x:v>
      </x:c>
      <x:c r="K888" s="7" t="str">
        <x:v>unverified-denominator</x:v>
      </x:c>
      <x:c r="L888" s="7" t="d">
        <x:v>2026-09-16T05:12:38.111Z</x:v>
      </x:c>
      <x:c r="M888" s="7" t="str">
        <x:v>https://apm.activecommunities.com/portlandparks/Activity_Search/mscc---sea-lion/208893?locale=en-US</x:v>
      </x:c>
    </x:row>
    <x:row r="889" ht="38" customHeight="1">
      <x:c r="A889" s="8" t="str">
        <x:v>208897</x:v>
      </x:c>
      <x:c r="B889" s="11" t="str">
        <x:v>MSCC - Seal</x:v>
      </x:c>
      <x:c r="C889" s="11" t="str">
        <x:v>Mt Scott Indoor Pool</x:v>
      </x:c>
      <x:c r="D889" s="11" t="str">
        <x:v>Aquatics - Lessons</x:v>
      </x:c>
      <x:c r="E889" s="8" t="str">
        <x:v>future</x:v>
      </x:c>
      <x:c r="F889" s="8" t="str">
        <x:v>2026-10-12</x:v>
      </x:c>
      <x:c r="G889" s="8" t="str">
        <x:v>2026-10-28</x:v>
      </x:c>
      <x:c r="H889" s="8" t="n">
        <x:v>6</x:v>
      </x:c>
      <x:c r="I889" s="8" t="n">
        <x:v>2</x:v>
      </x:c>
      <x:c r="J889" s="8" t="n">
        <x:v>6</x:v>
      </x:c>
      <x:c r="K889" s="8" t="str">
        <x:v>unverified-denominator</x:v>
      </x:c>
      <x:c r="L889" s="8" t="d">
        <x:v>2026-09-16T05:12:38.111Z</x:v>
      </x:c>
      <x:c r="M889" s="8" t="str">
        <x:v>https://apm.activecommunities.com/portlandparks/Activity_Search/mscc---seal/208897?locale=en-US</x:v>
      </x:c>
    </x:row>
    <x:row r="890" ht="38" customHeight="1">
      <x:c r="A890" s="7" t="str">
        <x:v>208898</x:v>
      </x:c>
      <x:c r="B890" s="12" t="str">
        <x:v>MSCC - Seal</x:v>
      </x:c>
      <x:c r="C890" s="12" t="str">
        <x:v>Mt Scott Indoor Pool</x:v>
      </x:c>
      <x:c r="D890" s="12" t="str">
        <x:v>Aquatics - Lessons</x:v>
      </x:c>
      <x:c r="E890" s="7" t="str">
        <x:v>future</x:v>
      </x:c>
      <x:c r="F890" s="7" t="str">
        <x:v>2026-10-12</x:v>
      </x:c>
      <x:c r="G890" s="7" t="str">
        <x:v>2026-10-28</x:v>
      </x:c>
      <x:c r="H890" s="7" t="n">
        <x:v>6</x:v>
      </x:c>
      <x:c r="I890" s="7" t="n">
        <x:v>4</x:v>
      </x:c>
      <x:c r="J890" s="7" t="n">
        <x:v>6</x:v>
      </x:c>
      <x:c r="K890" s="7" t="str">
        <x:v>unverified-denominator</x:v>
      </x:c>
      <x:c r="L890" s="7" t="d">
        <x:v>2026-09-16T05:12:38.111Z</x:v>
      </x:c>
      <x:c r="M890" s="7" t="str">
        <x:v>https://apm.activecommunities.com/portlandparks/Activity_Search/mscc---seal/208898?locale=en-US</x:v>
      </x:c>
    </x:row>
    <x:row r="891" ht="38" customHeight="1">
      <x:c r="A891" s="8" t="str">
        <x:v>208889</x:v>
      </x:c>
      <x:c r="B891" s="11" t="str">
        <x:v>MSCC - Seal</x:v>
      </x:c>
      <x:c r="C891" s="11" t="str">
        <x:v>Mt Scott Indoor Pool</x:v>
      </x:c>
      <x:c r="D891" s="11" t="str">
        <x:v>Aquatics - Lessons</x:v>
      </x:c>
      <x:c r="E891" s="8" t="str">
        <x:v>future</x:v>
      </x:c>
      <x:c r="F891" s="8" t="str">
        <x:v>2026-10-15</x:v>
      </x:c>
      <x:c r="G891" s="8" t="str">
        <x:v>2026-10-29</x:v>
      </x:c>
      <x:c r="H891" s="8" t="n">
        <x:v>6</x:v>
      </x:c>
      <x:c r="I891" s="8"/>
      <x:c r="J891" s="8" t="n">
        <x:v>6</x:v>
      </x:c>
      <x:c r="K891" s="8" t="str">
        <x:v>unverified-denominator</x:v>
      </x:c>
      <x:c r="L891" s="8" t="d">
        <x:v>2026-09-16T05:12:38.111Z</x:v>
      </x:c>
      <x:c r="M891" s="8" t="str">
        <x:v>https://apm.activecommunities.com/portlandparks/Activity_Search/mscc---seal/208889?locale=en-US</x:v>
      </x:c>
    </x:row>
    <x:row r="892" ht="38" customHeight="1">
      <x:c r="A892" s="7" t="str">
        <x:v>208885</x:v>
      </x:c>
      <x:c r="B892" s="12" t="str">
        <x:v>MSCC - Seal</x:v>
      </x:c>
      <x:c r="C892" s="12" t="str">
        <x:v>Mt Scott Indoor Pool</x:v>
      </x:c>
      <x:c r="D892" s="12" t="str">
        <x:v>Aquatics - Lessons</x:v>
      </x:c>
      <x:c r="E892" s="7" t="str">
        <x:v>future</x:v>
      </x:c>
      <x:c r="F892" s="7" t="str">
        <x:v>2026-10-15</x:v>
      </x:c>
      <x:c r="G892" s="7" t="str">
        <x:v>2026-10-29</x:v>
      </x:c>
      <x:c r="H892" s="7" t="n">
        <x:v>5</x:v>
      </x:c>
      <x:c r="I892" s="7" t="n">
        <x:v>3</x:v>
      </x:c>
      <x:c r="J892" s="7" t="n">
        <x:v>6</x:v>
      </x:c>
      <x:c r="K892" s="7" t="str">
        <x:v>unverified-denominator</x:v>
      </x:c>
      <x:c r="L892" s="7" t="d">
        <x:v>2026-09-16T05:12:38.111Z</x:v>
      </x:c>
      <x:c r="M892" s="7" t="str">
        <x:v>https://apm.activecommunities.com/portlandparks/Activity_Search/mscc---seal/208885?locale=en-US</x:v>
      </x:c>
    </x:row>
    <x:row r="893" ht="38" customHeight="1">
      <x:c r="A893" s="8" t="str">
        <x:v>208983</x:v>
      </x:c>
      <x:c r="B893" s="11" t="str">
        <x:v>MSCC - Seal</x:v>
      </x:c>
      <x:c r="C893" s="11" t="str">
        <x:v>Mt Scott Indoor Pool</x:v>
      </x:c>
      <x:c r="D893" s="11" t="str">
        <x:v>Aquatics - Lessons</x:v>
      </x:c>
      <x:c r="E893" s="8" t="str">
        <x:v>future</x:v>
      </x:c>
      <x:c r="F893" s="8" t="str">
        <x:v>2026-10-10</x:v>
      </x:c>
      <x:c r="G893" s="8" t="str">
        <x:v>2026-12-12</x:v>
      </x:c>
      <x:c r="H893" s="8" t="n">
        <x:v>6</x:v>
      </x:c>
      <x:c r="I893" s="8" t="n">
        <x:v>6</x:v>
      </x:c>
      <x:c r="J893" s="8" t="n">
        <x:v>6</x:v>
      </x:c>
      <x:c r="K893" s="8" t="str">
        <x:v>unverified-denominator</x:v>
      </x:c>
      <x:c r="L893" s="8" t="d">
        <x:v>2026-09-16T05:12:38.111Z</x:v>
      </x:c>
      <x:c r="M893" s="8" t="str">
        <x:v>https://apm.activecommunities.com/portlandparks/Activity_Search/mscc---seal/208983?locale=en-US</x:v>
      </x:c>
    </x:row>
    <x:row r="894" ht="38" customHeight="1">
      <x:c r="A894" s="7" t="str">
        <x:v>208987</x:v>
      </x:c>
      <x:c r="B894" s="12" t="str">
        <x:v>MSCC - Seal</x:v>
      </x:c>
      <x:c r="C894" s="12" t="str">
        <x:v>Mt Scott Indoor Pool</x:v>
      </x:c>
      <x:c r="D894" s="12" t="str">
        <x:v>Aquatics - Lessons</x:v>
      </x:c>
      <x:c r="E894" s="7" t="str">
        <x:v>future</x:v>
      </x:c>
      <x:c r="F894" s="7" t="str">
        <x:v>2026-10-10</x:v>
      </x:c>
      <x:c r="G894" s="7" t="str">
        <x:v>2026-12-12</x:v>
      </x:c>
      <x:c r="H894" s="7" t="n">
        <x:v>6</x:v>
      </x:c>
      <x:c r="I894" s="7" t="n">
        <x:v>13</x:v>
      </x:c>
      <x:c r="J894" s="7" t="n">
        <x:v>6</x:v>
      </x:c>
      <x:c r="K894" s="7" t="str">
        <x:v>unverified-denominator</x:v>
      </x:c>
      <x:c r="L894" s="7" t="d">
        <x:v>2026-09-16T05:12:38.111Z</x:v>
      </x:c>
      <x:c r="M894" s="7" t="str">
        <x:v>https://apm.activecommunities.com/portlandparks/Activity_Search/mscc---seal/208987?locale=en-US</x:v>
      </x:c>
    </x:row>
    <x:row r="895" ht="38" customHeight="1">
      <x:c r="A895" s="8" t="str">
        <x:v>208902</x:v>
      </x:c>
      <x:c r="B895" s="11" t="str">
        <x:v>MSCC - Seal</x:v>
      </x:c>
      <x:c r="C895" s="11" t="str">
        <x:v>Mt Scott Indoor Pool</x:v>
      </x:c>
      <x:c r="D895" s="11" t="str">
        <x:v>Aquatics - Lessons</x:v>
      </x:c>
      <x:c r="E895" s="8" t="str">
        <x:v>future</x:v>
      </x:c>
      <x:c r="F895" s="8" t="str">
        <x:v>2026-10-12</x:v>
      </x:c>
      <x:c r="G895" s="8" t="str">
        <x:v>2026-10-28</x:v>
      </x:c>
      <x:c r="H895" s="8" t="n">
        <x:v>6</x:v>
      </x:c>
      <x:c r="I895" s="8" t="n">
        <x:v>3</x:v>
      </x:c>
      <x:c r="J895" s="8" t="n">
        <x:v>6</x:v>
      </x:c>
      <x:c r="K895" s="8" t="str">
        <x:v>unverified-denominator</x:v>
      </x:c>
      <x:c r="L895" s="8" t="d">
        <x:v>2026-09-16T05:12:38.111Z</x:v>
      </x:c>
      <x:c r="M895" s="8" t="str">
        <x:v>https://apm.activecommunities.com/portlandparks/Activity_Search/mscc---seal/208902?locale=en-US</x:v>
      </x:c>
    </x:row>
    <x:row r="896" ht="38" customHeight="1">
      <x:c r="A896" s="7" t="str">
        <x:v>208058</x:v>
      </x:c>
      <x:c r="B896" s="12" t="str">
        <x:v>MSCC - Seal</x:v>
      </x:c>
      <x:c r="C896" s="12" t="str">
        <x:v>Mt Scott Indoor Pool</x:v>
      </x:c>
      <x:c r="D896" s="12" t="str">
        <x:v>Aquatics - Lessons</x:v>
      </x:c>
      <x:c r="E896" s="7" t="str">
        <x:v>future</x:v>
      </x:c>
      <x:c r="F896" s="7" t="str">
        <x:v>2026-11-02</x:v>
      </x:c>
      <x:c r="G896" s="7" t="str">
        <x:v>2026-12-09</x:v>
      </x:c>
      <x:c r="H896" s="7" t="n">
        <x:v>0</x:v>
      </x:c>
      <x:c r="I896" s="7"/>
      <x:c r="J896" s="7" t="n">
        <x:v>6</x:v>
      </x:c>
      <x:c r="K896" s="7" t="str">
        <x:v>unverified-denominator</x:v>
      </x:c>
      <x:c r="L896" s="7" t="d">
        <x:v>2026-09-16T05:12:38.111Z</x:v>
      </x:c>
      <x:c r="M896" s="7" t="str">
        <x:v>https://apm.activecommunities.com/portlandparks/Activity_Search/mscc---seal/208058?locale=en-US</x:v>
      </x:c>
    </x:row>
    <x:row r="897" ht="38" customHeight="1">
      <x:c r="A897" s="8" t="str">
        <x:v>208078</x:v>
      </x:c>
      <x:c r="B897" s="11" t="str">
        <x:v>MSCC - Seal</x:v>
      </x:c>
      <x:c r="C897" s="11" t="str">
        <x:v>Mt Scott Indoor Pool</x:v>
      </x:c>
      <x:c r="D897" s="11" t="str">
        <x:v>Aquatics - Lessons</x:v>
      </x:c>
      <x:c r="E897" s="8" t="str">
        <x:v>future</x:v>
      </x:c>
      <x:c r="F897" s="8" t="str">
        <x:v>2026-11-03</x:v>
      </x:c>
      <x:c r="G897" s="8" t="str">
        <x:v>2026-12-10</x:v>
      </x:c>
      <x:c r="H897" s="8" t="n">
        <x:v>0</x:v>
      </x:c>
      <x:c r="I897" s="8"/>
      <x:c r="J897" s="8" t="n">
        <x:v>6</x:v>
      </x:c>
      <x:c r="K897" s="8" t="str">
        <x:v>unverified-denominator</x:v>
      </x:c>
      <x:c r="L897" s="8" t="d">
        <x:v>2026-09-16T05:12:38.111Z</x:v>
      </x:c>
      <x:c r="M897" s="8" t="str">
        <x:v>https://apm.activecommunities.com/portlandparks/Activity_Search/mscc---seal/208078?locale=en-US</x:v>
      </x:c>
    </x:row>
    <x:row r="898" ht="38" customHeight="1">
      <x:c r="A898" s="7" t="str">
        <x:v>207990</x:v>
      </x:c>
      <x:c r="B898" s="12" t="str">
        <x:v>MSCC - Seal</x:v>
      </x:c>
      <x:c r="C898" s="12" t="str">
        <x:v>Mt Scott Indoor Pool</x:v>
      </x:c>
      <x:c r="D898" s="12" t="str">
        <x:v>Aquatics - Lessons</x:v>
      </x:c>
      <x:c r="E898" s="7" t="str">
        <x:v>future</x:v>
      </x:c>
      <x:c r="F898" s="7" t="str">
        <x:v>2026-10-10</x:v>
      </x:c>
      <x:c r="G898" s="7" t="str">
        <x:v>2026-12-12</x:v>
      </x:c>
      <x:c r="H898" s="7" t="n">
        <x:v>6</x:v>
      </x:c>
      <x:c r="I898" s="7" t="n">
        <x:v>4</x:v>
      </x:c>
      <x:c r="J898" s="7" t="n">
        <x:v>6</x:v>
      </x:c>
      <x:c r="K898" s="7" t="str">
        <x:v>unverified-denominator</x:v>
      </x:c>
      <x:c r="L898" s="7" t="d">
        <x:v>2026-09-16T05:12:38.111Z</x:v>
      </x:c>
      <x:c r="M898" s="7" t="str">
        <x:v>https://apm.activecommunities.com/portlandparks/Activity_Search/mscc---seal/207990?locale=en-US</x:v>
      </x:c>
    </x:row>
    <x:row r="899" ht="38" customHeight="1">
      <x:c r="A899" s="8" t="str">
        <x:v>207987</x:v>
      </x:c>
      <x:c r="B899" s="11" t="str">
        <x:v>MSCC - Seal</x:v>
      </x:c>
      <x:c r="C899" s="11" t="str">
        <x:v>Mt Scott Indoor Pool</x:v>
      </x:c>
      <x:c r="D899" s="11" t="str">
        <x:v>Aquatics - Lessons</x:v>
      </x:c>
      <x:c r="E899" s="8" t="str">
        <x:v>future</x:v>
      </x:c>
      <x:c r="F899" s="8" t="str">
        <x:v>2026-10-10</x:v>
      </x:c>
      <x:c r="G899" s="8" t="str">
        <x:v>2026-12-12</x:v>
      </x:c>
      <x:c r="H899" s="8" t="n">
        <x:v>6</x:v>
      </x:c>
      <x:c r="I899" s="8" t="n">
        <x:v>7</x:v>
      </x:c>
      <x:c r="J899" s="8" t="n">
        <x:v>6</x:v>
      </x:c>
      <x:c r="K899" s="8" t="str">
        <x:v>unverified-denominator</x:v>
      </x:c>
      <x:c r="L899" s="8" t="d">
        <x:v>2026-09-16T05:12:38.111Z</x:v>
      </x:c>
      <x:c r="M899" s="8" t="str">
        <x:v>https://apm.activecommunities.com/portlandparks/Activity_Search/mscc---seal/207987?locale=en-US</x:v>
      </x:c>
    </x:row>
    <x:row r="900" ht="38" customHeight="1">
      <x:c r="A900" s="7" t="str">
        <x:v>208026</x:v>
      </x:c>
      <x:c r="B900" s="12" t="str">
        <x:v>MSCC - Seal</x:v>
      </x:c>
      <x:c r="C900" s="12" t="str">
        <x:v>Mt Scott Indoor Pool</x:v>
      </x:c>
      <x:c r="D900" s="12" t="str">
        <x:v>Aquatics - Lessons</x:v>
      </x:c>
      <x:c r="E900" s="7" t="str">
        <x:v>future</x:v>
      </x:c>
      <x:c r="F900" s="7" t="str">
        <x:v>2026-10-12</x:v>
      </x:c>
      <x:c r="G900" s="7" t="str">
        <x:v>2026-10-28</x:v>
      </x:c>
      <x:c r="H900" s="7" t="n">
        <x:v>6</x:v>
      </x:c>
      <x:c r="I900" s="7" t="n">
        <x:v>4</x:v>
      </x:c>
      <x:c r="J900" s="7" t="n">
        <x:v>6</x:v>
      </x:c>
      <x:c r="K900" s="7" t="str">
        <x:v>unverified-denominator</x:v>
      </x:c>
      <x:c r="L900" s="7" t="d">
        <x:v>2026-09-16T05:12:38.111Z</x:v>
      </x:c>
      <x:c r="M900" s="7" t="str">
        <x:v>https://apm.activecommunities.com/portlandparks/Activity_Search/mscc---seal/208026?locale=en-US</x:v>
      </x:c>
    </x:row>
    <x:row r="901" ht="38" customHeight="1">
      <x:c r="A901" s="8" t="str">
        <x:v>208038</x:v>
      </x:c>
      <x:c r="B901" s="11" t="str">
        <x:v>MSCC - Seal</x:v>
      </x:c>
      <x:c r="C901" s="11" t="str">
        <x:v>Mt Scott Indoor Pool</x:v>
      </x:c>
      <x:c r="D901" s="11" t="str">
        <x:v>Aquatics - Lessons</x:v>
      </x:c>
      <x:c r="E901" s="8" t="str">
        <x:v>future</x:v>
      </x:c>
      <x:c r="F901" s="8" t="str">
        <x:v>2026-10-15</x:v>
      </x:c>
      <x:c r="G901" s="8" t="str">
        <x:v>2026-10-29</x:v>
      </x:c>
      <x:c r="H901" s="8" t="n">
        <x:v>6</x:v>
      </x:c>
      <x:c r="I901" s="8"/>
      <x:c r="J901" s="8" t="n">
        <x:v>6</x:v>
      </x:c>
      <x:c r="K901" s="8" t="str">
        <x:v>unverified-denominator</x:v>
      </x:c>
      <x:c r="L901" s="8" t="d">
        <x:v>2026-09-16T05:12:38.111Z</x:v>
      </x:c>
      <x:c r="M901" s="8" t="str">
        <x:v>https://apm.activecommunities.com/portlandparks/Activity_Search/mscc---seal/208038?locale=en-US</x:v>
      </x:c>
    </x:row>
    <x:row r="902" ht="38" customHeight="1">
      <x:c r="A902" s="7" t="str">
        <x:v>207978</x:v>
      </x:c>
      <x:c r="B902" s="12" t="str">
        <x:v>MSCC - Starfish</x:v>
      </x:c>
      <x:c r="C902" s="12" t="str">
        <x:v>Mt Scott Indoor Pool</x:v>
      </x:c>
      <x:c r="D902" s="12" t="str">
        <x:v>Aquatics - Lessons</x:v>
      </x:c>
      <x:c r="E902" s="7" t="str">
        <x:v>future</x:v>
      </x:c>
      <x:c r="F902" s="7" t="str">
        <x:v>2026-10-10</x:v>
      </x:c>
      <x:c r="G902" s="7" t="str">
        <x:v>2026-12-12</x:v>
      </x:c>
      <x:c r="H902" s="7" t="n">
        <x:v>12</x:v>
      </x:c>
      <x:c r="I902" s="7" t="n">
        <x:v>13</x:v>
      </x:c>
      <x:c r="J902" s="7" t="n">
        <x:v>12</x:v>
      </x:c>
      <x:c r="K902" s="7" t="str">
        <x:v>unverified-denominator</x:v>
      </x:c>
      <x:c r="L902" s="7" t="d">
        <x:v>2026-09-16T05:12:38.111Z</x:v>
      </x:c>
      <x:c r="M902" s="7" t="str">
        <x:v>https://apm.activecommunities.com/portlandparks/Activity_Search/mscc---starfish/207978?locale=en-US</x:v>
      </x:c>
    </x:row>
    <x:row r="903" ht="38" customHeight="1">
      <x:c r="A903" s="8" t="str">
        <x:v>208047</x:v>
      </x:c>
      <x:c r="B903" s="11" t="str">
        <x:v>MSCC - Starfish</x:v>
      </x:c>
      <x:c r="C903" s="11" t="str">
        <x:v>Mt Scott Indoor Pool</x:v>
      </x:c>
      <x:c r="D903" s="11" t="str">
        <x:v>Aquatics - Lessons</x:v>
      </x:c>
      <x:c r="E903" s="8" t="str">
        <x:v>future</x:v>
      </x:c>
      <x:c r="F903" s="8" t="str">
        <x:v>2026-10-15</x:v>
      </x:c>
      <x:c r="G903" s="8" t="str">
        <x:v>2026-10-29</x:v>
      </x:c>
      <x:c r="H903" s="8" t="n">
        <x:v>10</x:v>
      </x:c>
      <x:c r="I903" s="8"/>
      <x:c r="J903" s="8" t="n">
        <x:v>12</x:v>
      </x:c>
      <x:c r="K903" s="8" t="str">
        <x:v>unverified-denominator</x:v>
      </x:c>
      <x:c r="L903" s="8" t="d">
        <x:v>2026-09-16T05:12:38.111Z</x:v>
      </x:c>
      <x:c r="M903" s="8" t="str">
        <x:v>https://apm.activecommunities.com/portlandparks/Activity_Search/mscc---starfish/208047?locale=en-US</x:v>
      </x:c>
    </x:row>
    <x:row r="904" ht="38" customHeight="1">
      <x:c r="A904" s="7" t="str">
        <x:v>208067</x:v>
      </x:c>
      <x:c r="B904" s="12" t="str">
        <x:v>MSCC - Starfish</x:v>
      </x:c>
      <x:c r="C904" s="12" t="str">
        <x:v>Mt Scott Indoor Pool</x:v>
      </x:c>
      <x:c r="D904" s="12" t="str">
        <x:v>Aquatics - Lessons</x:v>
      </x:c>
      <x:c r="E904" s="7" t="str">
        <x:v>future</x:v>
      </x:c>
      <x:c r="F904" s="7" t="str">
        <x:v>2026-11-03</x:v>
      </x:c>
      <x:c r="G904" s="7" t="str">
        <x:v>2026-12-10</x:v>
      </x:c>
      <x:c r="H904" s="7" t="n">
        <x:v>0</x:v>
      </x:c>
      <x:c r="I904" s="7"/>
      <x:c r="J904" s="7" t="n">
        <x:v>12</x:v>
      </x:c>
      <x:c r="K904" s="7" t="str">
        <x:v>unverified-denominator</x:v>
      </x:c>
      <x:c r="L904" s="7" t="d">
        <x:v>2026-09-16T05:12:38.111Z</x:v>
      </x:c>
      <x:c r="M904" s="7" t="str">
        <x:v>https://apm.activecommunities.com/portlandparks/Activity_Search/mscc---starfish/208067?locale=en-US</x:v>
      </x:c>
    </x:row>
    <x:row r="905" ht="38" customHeight="1">
      <x:c r="A905" s="8" t="str">
        <x:v>208732</x:v>
      </x:c>
      <x:c r="B905" s="11" t="str">
        <x:v>Music - Adult Group Guitar I</x:v>
      </x:c>
      <x:c r="C905" s="11" t="str">
        <x:v>Peninsula Park Cmty Ctr</x:v>
      </x:c>
      <x:c r="D905" s="11" t="str">
        <x:v>Music</x:v>
      </x:c>
      <x:c r="E905" s="8" t="str">
        <x:v>future</x:v>
      </x:c>
      <x:c r="F905" s="8" t="str">
        <x:v>2026-10-01</x:v>
      </x:c>
      <x:c r="G905" s="8" t="str">
        <x:v>2026-10-29</x:v>
      </x:c>
      <x:c r="H905" s="8" t="n">
        <x:v>0</x:v>
      </x:c>
      <x:c r="I905" s="8"/>
      <x:c r="J905" s="8" t="n">
        <x:v>12</x:v>
      </x:c>
      <x:c r="K905" s="8" t="str">
        <x:v>unverified-denominator</x:v>
      </x:c>
      <x:c r="L905" s="8" t="d">
        <x:v>2026-09-16T05:12:38.111Z</x:v>
      </x:c>
      <x:c r="M905" s="8" t="str">
        <x:v>https://apm.activecommunities.com/portlandparks/Activity_Search/music---adult-group-guitar-i/208732?locale=en-US</x:v>
      </x:c>
    </x:row>
    <x:row r="906" ht="38" customHeight="1">
      <x:c r="A906" s="7" t="str">
        <x:v>208733</x:v>
      </x:c>
      <x:c r="B906" s="12" t="str">
        <x:v>Music - Adult Group Guitar I</x:v>
      </x:c>
      <x:c r="C906" s="12" t="str">
        <x:v>Peninsula Park Cmty Ctr</x:v>
      </x:c>
      <x:c r="D906" s="12" t="str">
        <x:v>Music</x:v>
      </x:c>
      <x:c r="E906" s="7" t="str">
        <x:v>future</x:v>
      </x:c>
      <x:c r="F906" s="7" t="str">
        <x:v>2026-11-12</x:v>
      </x:c>
      <x:c r="G906" s="7" t="str">
        <x:v>2026-12-10</x:v>
      </x:c>
      <x:c r="H906" s="7" t="n">
        <x:v>0</x:v>
      </x:c>
      <x:c r="I906" s="7"/>
      <x:c r="J906" s="7" t="n">
        <x:v>12</x:v>
      </x:c>
      <x:c r="K906" s="7" t="str">
        <x:v>unverified-denominator</x:v>
      </x:c>
      <x:c r="L906" s="7" t="d">
        <x:v>2026-09-16T05:12:38.111Z</x:v>
      </x:c>
      <x:c r="M906" s="7" t="str">
        <x:v>https://apm.activecommunities.com/portlandparks/Activity_Search/music---adult-group-guitar-i/208733?locale=en-US</x:v>
      </x:c>
    </x:row>
    <x:row r="907" ht="38" customHeight="1">
      <x:c r="A907" s="8" t="str">
        <x:v>207264</x:v>
      </x:c>
      <x:c r="B907" s="11" t="str">
        <x:v>Music - Adult Group Guitar I</x:v>
      </x:c>
      <x:c r="C907" s="11" t="str">
        <x:v>Multnomah Arts Ctr</x:v>
      </x:c>
      <x:c r="D907" s="11" t="str">
        <x:v>Music</x:v>
      </x:c>
      <x:c r="E907" s="8" t="str">
        <x:v>future</x:v>
      </x:c>
      <x:c r="F907" s="8" t="str">
        <x:v>2026-10-01</x:v>
      </x:c>
      <x:c r="G907" s="8" t="str">
        <x:v>2026-12-10</x:v>
      </x:c>
      <x:c r="H907" s="8" t="n">
        <x:v>14</x:v>
      </x:c>
      <x:c r="I907" s="8"/>
      <x:c r="J907" s="8" t="n">
        <x:v>14</x:v>
      </x:c>
      <x:c r="K907" s="8" t="str">
        <x:v>unverified-denominator</x:v>
      </x:c>
      <x:c r="L907" s="8" t="d">
        <x:v>2026-09-16T05:12:38.111Z</x:v>
      </x:c>
      <x:c r="M907" s="8" t="str">
        <x:v>https://apm.activecommunities.com/portlandparks/Activity_Search/music---adult-group-guitar-i/207264?locale=en-US</x:v>
      </x:c>
    </x:row>
    <x:row r="908" ht="38" customHeight="1">
      <x:c r="A908" s="7" t="str">
        <x:v>209182</x:v>
      </x:c>
      <x:c r="B908" s="12" t="str">
        <x:v>Music - Adult Group Guitar I</x:v>
      </x:c>
      <x:c r="C908" s="12" t="str">
        <x:v>Multnomah Arts Ctr</x:v>
      </x:c>
      <x:c r="D908" s="12" t="str">
        <x:v>Music</x:v>
      </x:c>
      <x:c r="E908" s="7" t="str">
        <x:v>future</x:v>
      </x:c>
      <x:c r="F908" s="7" t="str">
        <x:v>2026-10-01</x:v>
      </x:c>
      <x:c r="G908" s="7" t="str">
        <x:v>2026-12-10</x:v>
      </x:c>
      <x:c r="H908" s="7" t="n">
        <x:v>10</x:v>
      </x:c>
      <x:c r="I908" s="7" t="n">
        <x:v>3</x:v>
      </x:c>
      <x:c r="J908" s="7" t="n">
        <x:v>10</x:v>
      </x:c>
      <x:c r="K908" s="7" t="str">
        <x:v>unverified-denominator</x:v>
      </x:c>
      <x:c r="L908" s="7" t="d">
        <x:v>2026-09-16T05:12:38.111Z</x:v>
      </x:c>
      <x:c r="M908" s="7" t="str">
        <x:v>https://apm.activecommunities.com/portlandparks/Activity_Search/music---adult-group-guitar-i/209182?locale=en-US</x:v>
      </x:c>
    </x:row>
    <x:row r="909" ht="38" customHeight="1">
      <x:c r="A909" s="8" t="str">
        <x:v>207238</x:v>
      </x:c>
      <x:c r="B909" s="11" t="str">
        <x:v>Music - Adult Group Guitar II</x:v>
      </x:c>
      <x:c r="C909" s="11" t="str">
        <x:v>Multnomah Arts Ctr</x:v>
      </x:c>
      <x:c r="D909" s="11" t="str">
        <x:v>Music</x:v>
      </x:c>
      <x:c r="E909" s="8" t="str">
        <x:v>future</x:v>
      </x:c>
      <x:c r="F909" s="8" t="str">
        <x:v>2026-09-29</x:v>
      </x:c>
      <x:c r="G909" s="8" t="str">
        <x:v>2026-12-01</x:v>
      </x:c>
      <x:c r="H909" s="8" t="n">
        <x:v>11</x:v>
      </x:c>
      <x:c r="I909" s="8"/>
      <x:c r="J909" s="8" t="n">
        <x:v>14</x:v>
      </x:c>
      <x:c r="K909" s="8" t="str">
        <x:v>unverified-denominator</x:v>
      </x:c>
      <x:c r="L909" s="8" t="d">
        <x:v>2026-09-16T05:12:38.111Z</x:v>
      </x:c>
      <x:c r="M909" s="8" t="str">
        <x:v>https://apm.activecommunities.com/portlandparks/Activity_Search/music---adult-group-guitar-ii/207238?locale=en-US</x:v>
      </x:c>
    </x:row>
    <x:row r="910" ht="38" customHeight="1">
      <x:c r="A910" s="7" t="str">
        <x:v>207239</x:v>
      </x:c>
      <x:c r="B910" s="12" t="str">
        <x:v>Music - Adult Group Guitar III</x:v>
      </x:c>
      <x:c r="C910" s="12" t="str">
        <x:v>Multnomah Arts Ctr</x:v>
      </x:c>
      <x:c r="D910" s="12" t="str">
        <x:v>Music</x:v>
      </x:c>
      <x:c r="E910" s="7" t="str">
        <x:v>future</x:v>
      </x:c>
      <x:c r="F910" s="7" t="str">
        <x:v>2026-09-29</x:v>
      </x:c>
      <x:c r="G910" s="7" t="str">
        <x:v>2026-12-01</x:v>
      </x:c>
      <x:c r="H910" s="7" t="n">
        <x:v>14</x:v>
      </x:c>
      <x:c r="I910" s="7" t="n">
        <x:v>2</x:v>
      </x:c>
      <x:c r="J910" s="7" t="n">
        <x:v>14</x:v>
      </x:c>
      <x:c r="K910" s="7" t="str">
        <x:v>unverified-denominator</x:v>
      </x:c>
      <x:c r="L910" s="7" t="d">
        <x:v>2026-09-16T05:12:38.111Z</x:v>
      </x:c>
      <x:c r="M910" s="7" t="str">
        <x:v>https://apm.activecommunities.com/portlandparks/Activity_Search/music---adult-group-guitar-iii/207239?locale=en-US</x:v>
      </x:c>
    </x:row>
    <x:row r="911" ht="38" customHeight="1">
      <x:c r="A911" s="8" t="str">
        <x:v>207244</x:v>
      </x:c>
      <x:c r="B911" s="11" t="str">
        <x:v>Music - Adult Group Guitar IV</x:v>
      </x:c>
      <x:c r="C911" s="11" t="str">
        <x:v>Multnomah Arts Ctr</x:v>
      </x:c>
      <x:c r="D911" s="11" t="str">
        <x:v>Music</x:v>
      </x:c>
      <x:c r="E911" s="8" t="str">
        <x:v>future</x:v>
      </x:c>
      <x:c r="F911" s="8" t="str">
        <x:v>2026-09-29</x:v>
      </x:c>
      <x:c r="G911" s="8" t="str">
        <x:v>2026-12-01</x:v>
      </x:c>
      <x:c r="H911" s="8" t="n">
        <x:v>10</x:v>
      </x:c>
      <x:c r="I911" s="8"/>
      <x:c r="J911" s="8" t="n">
        <x:v>14</x:v>
      </x:c>
      <x:c r="K911" s="8" t="str">
        <x:v>unverified-denominator</x:v>
      </x:c>
      <x:c r="L911" s="8" t="d">
        <x:v>2026-09-16T05:12:38.111Z</x:v>
      </x:c>
      <x:c r="M911" s="8" t="str">
        <x:v>https://apm.activecommunities.com/portlandparks/Activity_Search/music---adult-group-guitar-iv/207244?locale=en-US</x:v>
      </x:c>
    </x:row>
    <x:row r="912" ht="38" customHeight="1">
      <x:c r="A912" s="7" t="str">
        <x:v>207248</x:v>
      </x:c>
      <x:c r="B912" s="12" t="str">
        <x:v>Music - Adult Group Ukulele I</x:v>
      </x:c>
      <x:c r="C912" s="12" t="str">
        <x:v>Multnomah Arts Ctr</x:v>
      </x:c>
      <x:c r="D912" s="12" t="str">
        <x:v>Music</x:v>
      </x:c>
      <x:c r="E912" s="7" t="str">
        <x:v>future</x:v>
      </x:c>
      <x:c r="F912" s="7" t="str">
        <x:v>2026-09-30</x:v>
      </x:c>
      <x:c r="G912" s="7" t="str">
        <x:v>2026-12-09</x:v>
      </x:c>
      <x:c r="H912" s="7" t="n">
        <x:v>10</x:v>
      </x:c>
      <x:c r="I912" s="7"/>
      <x:c r="J912" s="7" t="n">
        <x:v>14</x:v>
      </x:c>
      <x:c r="K912" s="7" t="str">
        <x:v>unverified-denominator</x:v>
      </x:c>
      <x:c r="L912" s="7" t="d">
        <x:v>2026-09-16T05:12:38.111Z</x:v>
      </x:c>
      <x:c r="M912" s="7" t="str">
        <x:v>https://apm.activecommunities.com/portlandparks/Activity_Search/music---adult-group-ukulele-i/207248?locale=en-US</x:v>
      </x:c>
    </x:row>
    <x:row r="913" ht="38" customHeight="1">
      <x:c r="A913" s="8" t="str">
        <x:v>209183</x:v>
      </x:c>
      <x:c r="B913" s="11" t="str">
        <x:v>Music - Adult Group Ukulele I</x:v>
      </x:c>
      <x:c r="C913" s="11" t="str">
        <x:v>Multnomah Arts Ctr</x:v>
      </x:c>
      <x:c r="D913" s="11" t="str">
        <x:v>Music</x:v>
      </x:c>
      <x:c r="E913" s="8" t="str">
        <x:v>future</x:v>
      </x:c>
      <x:c r="F913" s="8" t="str">
        <x:v>2026-10-01</x:v>
      </x:c>
      <x:c r="G913" s="8" t="str">
        <x:v>2026-12-10</x:v>
      </x:c>
      <x:c r="H913" s="8" t="n">
        <x:v>1</x:v>
      </x:c>
      <x:c r="I913" s="8"/>
      <x:c r="J913" s="8" t="n">
        <x:v>10</x:v>
      </x:c>
      <x:c r="K913" s="8" t="str">
        <x:v>unverified-denominator</x:v>
      </x:c>
      <x:c r="L913" s="8" t="d">
        <x:v>2026-09-16T05:12:38.111Z</x:v>
      </x:c>
      <x:c r="M913" s="8" t="str">
        <x:v>https://apm.activecommunities.com/portlandparks/Activity_Search/music---adult-group-ukulele-i/209183?locale=en-US</x:v>
      </x:c>
    </x:row>
    <x:row r="914" ht="38" customHeight="1">
      <x:c r="A914" s="7" t="str">
        <x:v>207256</x:v>
      </x:c>
      <x:c r="B914" s="12" t="str">
        <x:v>Music - Adult Group Ukulele II</x:v>
      </x:c>
      <x:c r="C914" s="12" t="str">
        <x:v>Multnomah Arts Ctr</x:v>
      </x:c>
      <x:c r="D914" s="12" t="str">
        <x:v>Music</x:v>
      </x:c>
      <x:c r="E914" s="7" t="str">
        <x:v>future</x:v>
      </x:c>
      <x:c r="F914" s="7" t="str">
        <x:v>2026-09-30</x:v>
      </x:c>
      <x:c r="G914" s="7" t="str">
        <x:v>2026-12-09</x:v>
      </x:c>
      <x:c r="H914" s="7" t="n">
        <x:v>11</x:v>
      </x:c>
      <x:c r="I914" s="7"/>
      <x:c r="J914" s="7" t="n">
        <x:v>14</x:v>
      </x:c>
      <x:c r="K914" s="7" t="str">
        <x:v>unverified-denominator</x:v>
      </x:c>
      <x:c r="L914" s="7" t="d">
        <x:v>2026-09-16T05:12:38.111Z</x:v>
      </x:c>
      <x:c r="M914" s="7" t="str">
        <x:v>https://apm.activecommunities.com/portlandparks/Activity_Search/music---adult-group-ukulele-ii/207256?locale=en-US</x:v>
      </x:c>
    </x:row>
    <x:row r="915" ht="38" customHeight="1">
      <x:c r="A915" s="8" t="str">
        <x:v>207259</x:v>
      </x:c>
      <x:c r="B915" s="11" t="str">
        <x:v>Music - Adult Group Ukulele III</x:v>
      </x:c>
      <x:c r="C915" s="11" t="str">
        <x:v>Multnomah Arts Ctr</x:v>
      </x:c>
      <x:c r="D915" s="11" t="str">
        <x:v>Music</x:v>
      </x:c>
      <x:c r="E915" s="8" t="str">
        <x:v>future</x:v>
      </x:c>
      <x:c r="F915" s="8" t="str">
        <x:v>2026-09-30</x:v>
      </x:c>
      <x:c r="G915" s="8" t="str">
        <x:v>2026-12-09</x:v>
      </x:c>
      <x:c r="H915" s="8" t="n">
        <x:v>8</x:v>
      </x:c>
      <x:c r="I915" s="8"/>
      <x:c r="J915" s="8" t="n">
        <x:v>14</x:v>
      </x:c>
      <x:c r="K915" s="8" t="str">
        <x:v>unverified-denominator</x:v>
      </x:c>
      <x:c r="L915" s="8" t="d">
        <x:v>2026-09-16T05:12:38.111Z</x:v>
      </x:c>
      <x:c r="M915" s="8" t="str">
        <x:v>https://apm.activecommunities.com/portlandparks/Activity_Search/music---adult-group-ukulele-iii/207259?locale=en-US</x:v>
      </x:c>
    </x:row>
    <x:row r="916" ht="38" customHeight="1">
      <x:c r="A916" s="7" t="str">
        <x:v>208546</x:v>
      </x:c>
      <x:c r="B916" s="12" t="str">
        <x:v>Music - Adult Piano I</x:v>
      </x:c>
      <x:c r="C916" s="12" t="str">
        <x:v>Multnomah Arts Ctr</x:v>
      </x:c>
      <x:c r="D916" s="12" t="str">
        <x:v>Music</x:v>
      </x:c>
      <x:c r="E916" s="7" t="str">
        <x:v>future</x:v>
      </x:c>
      <x:c r="F916" s="7" t="str">
        <x:v>2026-09-28</x:v>
      </x:c>
      <x:c r="G916" s="7" t="str">
        <x:v>2026-12-07</x:v>
      </x:c>
      <x:c r="H916" s="7" t="n">
        <x:v>9</x:v>
      </x:c>
      <x:c r="I916" s="7" t="n">
        <x:v>9</x:v>
      </x:c>
      <x:c r="J916" s="7" t="n">
        <x:v>9</x:v>
      </x:c>
      <x:c r="K916" s="7" t="str">
        <x:v>unverified-denominator</x:v>
      </x:c>
      <x:c r="L916" s="7" t="d">
        <x:v>2026-09-16T05:12:38.111Z</x:v>
      </x:c>
      <x:c r="M916" s="7" t="str">
        <x:v>https://apm.activecommunities.com/portlandparks/Activity_Search/music---adult-piano-i/208546?locale=en-US</x:v>
      </x:c>
    </x:row>
    <x:row r="917" ht="38" customHeight="1">
      <x:c r="A917" s="8" t="str">
        <x:v>208547</x:v>
      </x:c>
      <x:c r="B917" s="11" t="str">
        <x:v>Music - Adult Piano II</x:v>
      </x:c>
      <x:c r="C917" s="11" t="str">
        <x:v>Multnomah Arts Ctr</x:v>
      </x:c>
      <x:c r="D917" s="11" t="str">
        <x:v>Music</x:v>
      </x:c>
      <x:c r="E917" s="8" t="str">
        <x:v>future</x:v>
      </x:c>
      <x:c r="F917" s="8" t="str">
        <x:v>2026-09-28</x:v>
      </x:c>
      <x:c r="G917" s="8" t="str">
        <x:v>2026-12-07</x:v>
      </x:c>
      <x:c r="H917" s="8" t="n">
        <x:v>9</x:v>
      </x:c>
      <x:c r="I917" s="8" t="n">
        <x:v>3</x:v>
      </x:c>
      <x:c r="J917" s="8" t="n">
        <x:v>9</x:v>
      </x:c>
      <x:c r="K917" s="8" t="str">
        <x:v>unverified-denominator</x:v>
      </x:c>
      <x:c r="L917" s="8" t="d">
        <x:v>2026-09-16T05:12:38.111Z</x:v>
      </x:c>
      <x:c r="M917" s="8" t="str">
        <x:v>https://apm.activecommunities.com/portlandparks/Activity_Search/music---adult-piano-ii/208547?locale=en-US</x:v>
      </x:c>
    </x:row>
    <x:row r="918" ht="38" customHeight="1">
      <x:c r="A918" s="7" t="str">
        <x:v>207941</x:v>
      </x:c>
      <x:c r="B918" s="12" t="str">
        <x:v>Music - Cello Adult Intermediate - Level 2</x:v>
      </x:c>
      <x:c r="C918" s="12" t="str">
        <x:v>Cmty Music Ctr</x:v>
      </x:c>
      <x:c r="D918" s="12" t="str">
        <x:v>Music</x:v>
      </x:c>
      <x:c r="E918" s="7" t="str">
        <x:v>future</x:v>
      </x:c>
      <x:c r="F918" s="7" t="str">
        <x:v>2026-10-02</x:v>
      </x:c>
      <x:c r="G918" s="7" t="str">
        <x:v>2026-12-11</x:v>
      </x:c>
      <x:c r="H918" s="7" t="n">
        <x:v>4</x:v>
      </x:c>
      <x:c r="I918" s="7" t="n">
        <x:v>4</x:v>
      </x:c>
      <x:c r="J918" s="7" t="n">
        <x:v>7</x:v>
      </x:c>
      <x:c r="K918" s="7" t="str">
        <x:v>unverified-denominator</x:v>
      </x:c>
      <x:c r="L918" s="7" t="d">
        <x:v>2026-09-16T05:12:38.111Z</x:v>
      </x:c>
      <x:c r="M918" s="7" t="str">
        <x:v>https://apm.activecommunities.com/portlandparks/Activity_Search/music---cello-adult-intermediate---level-2/207941?locale=en-US</x:v>
      </x:c>
    </x:row>
    <x:row r="919" ht="38" customHeight="1">
      <x:c r="A919" s="8" t="str">
        <x:v>207878</x:v>
      </x:c>
      <x:c r="B919" s="11" t="str">
        <x:v>Music - Cello Adult Intermediate - Level 3</x:v>
      </x:c>
      <x:c r="C919" s="11" t="str">
        <x:v>Grout Elementary school: 3119 SE Holgate Blvd, Portland, OR 97202</x:v>
      </x:c>
      <x:c r="D919" s="11" t="str">
        <x:v>Music</x:v>
      </x:c>
      <x:c r="E919" s="8" t="str">
        <x:v>future</x:v>
      </x:c>
      <x:c r="F919" s="8" t="str">
        <x:v>2026-09-29</x:v>
      </x:c>
      <x:c r="G919" s="8" t="str">
        <x:v>2026-12-01</x:v>
      </x:c>
      <x:c r="H919" s="8" t="n">
        <x:v>7</x:v>
      </x:c>
      <x:c r="I919" s="8" t="n">
        <x:v>2</x:v>
      </x:c>
      <x:c r="J919" s="8" t="n">
        <x:v>8</x:v>
      </x:c>
      <x:c r="K919" s="8" t="str">
        <x:v>unverified-denominator</x:v>
      </x:c>
      <x:c r="L919" s="8" t="d">
        <x:v>2026-09-16T05:12:38.111Z</x:v>
      </x:c>
      <x:c r="M919" s="8" t="str">
        <x:v>https://apm.activecommunities.com/portlandparks/Activity_Search/music---cello-adult-intermediate---level-3/207878?locale=en-US</x:v>
      </x:c>
    </x:row>
    <x:row r="920" ht="38" customHeight="1">
      <x:c r="A920" s="7" t="str">
        <x:v>207879</x:v>
      </x:c>
      <x:c r="B920" s="12" t="str">
        <x:v>Music - Cello Ensemble - Advanced</x:v>
      </x:c>
      <x:c r="C920" s="12" t="str">
        <x:v>Grout Elementary school: 3119 SE Holgate Blvd, Portland, OR 97202</x:v>
      </x:c>
      <x:c r="D920" s="12" t="str">
        <x:v>Music</x:v>
      </x:c>
      <x:c r="E920" s="7" t="str">
        <x:v>future</x:v>
      </x:c>
      <x:c r="F920" s="7" t="str">
        <x:v>2026-09-29</x:v>
      </x:c>
      <x:c r="G920" s="7" t="str">
        <x:v>2026-12-01</x:v>
      </x:c>
      <x:c r="H920" s="7" t="n">
        <x:v>6</x:v>
      </x:c>
      <x:c r="I920" s="7" t="n">
        <x:v>1</x:v>
      </x:c>
      <x:c r="J920" s="7" t="n">
        <x:v>8</x:v>
      </x:c>
      <x:c r="K920" s="7" t="str">
        <x:v>unverified-denominator</x:v>
      </x:c>
      <x:c r="L920" s="7" t="d">
        <x:v>2026-09-16T05:12:38.111Z</x:v>
      </x:c>
      <x:c r="M920" s="7" t="str">
        <x:v>https://apm.activecommunities.com/portlandparks/Activity_Search/music---cello-ensemble---advanced/207879?locale=en-US</x:v>
      </x:c>
    </x:row>
    <x:row r="921" ht="38" customHeight="1">
      <x:c r="A921" s="8" t="str">
        <x:v>207876</x:v>
      </x:c>
      <x:c r="B921" s="11" t="str">
        <x:v>Music - Community Chorus</x:v>
      </x:c>
      <x:c r="C921" s="11" t="str">
        <x:v>Cmty Music Ctr</x:v>
      </x:c>
      <x:c r="D921" s="11" t="str">
        <x:v>Music</x:v>
      </x:c>
      <x:c r="E921" s="8" t="str">
        <x:v>future</x:v>
      </x:c>
      <x:c r="F921" s="8" t="str">
        <x:v>2026-09-29</x:v>
      </x:c>
      <x:c r="G921" s="8" t="str">
        <x:v>2026-12-01</x:v>
      </x:c>
      <x:c r="H921" s="8" t="n">
        <x:v>23</x:v>
      </x:c>
      <x:c r="I921" s="8"/>
      <x:c r="J921" s="8" t="n">
        <x:v>42</x:v>
      </x:c>
      <x:c r="K921" s="8" t="str">
        <x:v>unverified-denominator</x:v>
      </x:c>
      <x:c r="L921" s="8" t="d">
        <x:v>2026-09-16T05:12:38.111Z</x:v>
      </x:c>
      <x:c r="M921" s="8" t="str">
        <x:v>https://apm.activecommunities.com/portlandparks/Activity_Search/music---community-chorus/207876?locale=en-US</x:v>
      </x:c>
    </x:row>
    <x:row r="922" ht="38" customHeight="1">
      <x:c r="A922" s="7" t="str">
        <x:v>207880</x:v>
      </x:c>
      <x:c r="B922" s="12" t="str">
        <x:v>Music - Community String Orchestra</x:v>
      </x:c>
      <x:c r="C922" s="12" t="str">
        <x:v>Cmty Music Ctr</x:v>
      </x:c>
      <x:c r="D922" s="12" t="str">
        <x:v>Music</x:v>
      </x:c>
      <x:c r="E922" s="7" t="str">
        <x:v>future</x:v>
      </x:c>
      <x:c r="F922" s="7" t="str">
        <x:v>2026-09-30</x:v>
      </x:c>
      <x:c r="G922" s="7" t="str">
        <x:v>2026-12-09</x:v>
      </x:c>
      <x:c r="H922" s="7" t="n">
        <x:v>21</x:v>
      </x:c>
      <x:c r="I922" s="7" t="n">
        <x:v>2</x:v>
      </x:c>
      <x:c r="J922" s="7" t="n">
        <x:v>36</x:v>
      </x:c>
      <x:c r="K922" s="7" t="str">
        <x:v>unverified-denominator</x:v>
      </x:c>
      <x:c r="L922" s="7" t="d">
        <x:v>2026-09-16T05:12:38.111Z</x:v>
      </x:c>
      <x:c r="M922" s="7" t="str">
        <x:v>https://apm.activecommunities.com/portlandparks/Activity_Search/music---community-string-orchestra/207880?locale=en-US</x:v>
      </x:c>
    </x:row>
    <x:row r="923" ht="38" customHeight="1">
      <x:c r="A923" s="8" t="str">
        <x:v>208461</x:v>
      </x:c>
      <x:c r="B923" s="11" t="str">
        <x:v>Music - Drum Circle - Adults</x:v>
      </x:c>
      <x:c r="C923" s="11" t="str">
        <x:v>Cmty Music Ctr</x:v>
      </x:c>
      <x:c r="D923" s="11" t="str">
        <x:v>Music</x:v>
      </x:c>
      <x:c r="E923" s="8" t="str">
        <x:v>future</x:v>
      </x:c>
      <x:c r="F923" s="8" t="str">
        <x:v>2026-09-30</x:v>
      </x:c>
      <x:c r="G923" s="8" t="str">
        <x:v>2026-12-09</x:v>
      </x:c>
      <x:c r="H923" s="8" t="n">
        <x:v>5</x:v>
      </x:c>
      <x:c r="I923" s="8"/>
      <x:c r="J923" s="8" t="n">
        <x:v>8</x:v>
      </x:c>
      <x:c r="K923" s="8" t="str">
        <x:v>unverified-denominator</x:v>
      </x:c>
      <x:c r="L923" s="8" t="d">
        <x:v>2026-09-16T05:12:38.111Z</x:v>
      </x:c>
      <x:c r="M923" s="8" t="str">
        <x:v>https://apm.activecommunities.com/portlandparks/Activity_Search/music---drum-circle---adults/208461?locale=en-US</x:v>
      </x:c>
    </x:row>
    <x:row r="924" ht="38" customHeight="1">
      <x:c r="A924" s="7" t="str">
        <x:v>208456</x:v>
      </x:c>
      <x:c r="B924" s="12" t="str">
        <x:v>Music - Drum World</x:v>
      </x:c>
      <x:c r="C924" s="12" t="str">
        <x:v>Cmty Music Ctr</x:v>
      </x:c>
      <x:c r="D924" s="12" t="str">
        <x:v>Music</x:v>
      </x:c>
      <x:c r="E924" s="7" t="str">
        <x:v>future</x:v>
      </x:c>
      <x:c r="F924" s="7" t="str">
        <x:v>2026-09-30</x:v>
      </x:c>
      <x:c r="G924" s="7" t="str">
        <x:v>2027-06-02</x:v>
      </x:c>
      <x:c r="H924" s="7" t="n">
        <x:v>8</x:v>
      </x:c>
      <x:c r="I924" s="7"/>
      <x:c r="J924" s="7" t="n">
        <x:v>8</x:v>
      </x:c>
      <x:c r="K924" s="7" t="str">
        <x:v>unverified-denominator</x:v>
      </x:c>
      <x:c r="L924" s="7" t="d">
        <x:v>2026-09-16T05:12:38.111Z</x:v>
      </x:c>
      <x:c r="M924" s="7" t="str">
        <x:v>https://apm.activecommunities.com/portlandparks/Activity_Search/music---drum-world/208456?locale=en-US</x:v>
      </x:c>
    </x:row>
    <x:row r="925" ht="38" customHeight="1">
      <x:c r="A925" s="8" t="str">
        <x:v>208460</x:v>
      </x:c>
      <x:c r="B925" s="11" t="str">
        <x:v>Music - Drum World</x:v>
      </x:c>
      <x:c r="C925" s="11" t="str">
        <x:v>Cmty Music Ctr</x:v>
      </x:c>
      <x:c r="D925" s="11" t="str">
        <x:v>Music</x:v>
      </x:c>
      <x:c r="E925" s="8" t="str">
        <x:v>future</x:v>
      </x:c>
      <x:c r="F925" s="8" t="str">
        <x:v>2026-09-30</x:v>
      </x:c>
      <x:c r="G925" s="8" t="str">
        <x:v>2027-06-02</x:v>
      </x:c>
      <x:c r="H925" s="8" t="n">
        <x:v>4</x:v>
      </x:c>
      <x:c r="I925" s="8"/>
      <x:c r="J925" s="8" t="n">
        <x:v>8</x:v>
      </x:c>
      <x:c r="K925" s="8" t="str">
        <x:v>unverified-denominator</x:v>
      </x:c>
      <x:c r="L925" s="8" t="d">
        <x:v>2026-09-16T05:12:38.111Z</x:v>
      </x:c>
      <x:c r="M925" s="8" t="str">
        <x:v>https://apm.activecommunities.com/portlandparks/Activity_Search/music---drum-world/208460?locale=en-US</x:v>
      </x:c>
    </x:row>
    <x:row r="926" ht="38" customHeight="1">
      <x:c r="A926" s="7" t="str">
        <x:v>208777</x:v>
      </x:c>
      <x:c r="B926" s="12" t="str">
        <x:v>Music - Drumming Together for Women</x:v>
      </x:c>
      <x:c r="C926" s="12" t="str">
        <x:v>Cmty Music Ctr</x:v>
      </x:c>
      <x:c r="D926" s="12" t="str">
        <x:v>Music</x:v>
      </x:c>
      <x:c r="E926" s="7" t="str">
        <x:v>future</x:v>
      </x:c>
      <x:c r="F926" s="7" t="str">
        <x:v>2026-10-05</x:v>
      </x:c>
      <x:c r="G926" s="7" t="str">
        <x:v>2026-12-07</x:v>
      </x:c>
      <x:c r="H926" s="7" t="n">
        <x:v>9</x:v>
      </x:c>
      <x:c r="I926" s="7" t="n">
        <x:v>1</x:v>
      </x:c>
      <x:c r="J926" s="7" t="n">
        <x:v>12</x:v>
      </x:c>
      <x:c r="K926" s="7" t="str">
        <x:v>unverified-denominator</x:v>
      </x:c>
      <x:c r="L926" s="7" t="d">
        <x:v>2026-09-16T05:12:38.111Z</x:v>
      </x:c>
      <x:c r="M926" s="7" t="str">
        <x:v>https://apm.activecommunities.com/portlandparks/Activity_Search/music---drumming-together-for-women/208777?locale=en-US</x:v>
      </x:c>
    </x:row>
    <x:row r="927" ht="38" customHeight="1">
      <x:c r="A927" s="8" t="str">
        <x:v>208831</x:v>
      </x:c>
      <x:c r="B927" s="11" t="str">
        <x:v>Music - Drumming Together for Women - Intermediate</x:v>
      </x:c>
      <x:c r="C927" s="11" t="str">
        <x:v>Cmty Music Ctr</x:v>
      </x:c>
      <x:c r="D927" s="11" t="str">
        <x:v>Music</x:v>
      </x:c>
      <x:c r="E927" s="8" t="str">
        <x:v>future</x:v>
      </x:c>
      <x:c r="F927" s="8" t="str">
        <x:v>2026-09-28</x:v>
      </x:c>
      <x:c r="G927" s="8" t="str">
        <x:v>2026-11-30</x:v>
      </x:c>
      <x:c r="H927" s="8" t="n">
        <x:v>12</x:v>
      </x:c>
      <x:c r="I927" s="8" t="n">
        <x:v>1</x:v>
      </x:c>
      <x:c r="J927" s="8" t="n">
        <x:v>12</x:v>
      </x:c>
      <x:c r="K927" s="8" t="str">
        <x:v>unverified-denominator</x:v>
      </x:c>
      <x:c r="L927" s="8" t="d">
        <x:v>2026-09-16T05:12:38.111Z</x:v>
      </x:c>
      <x:c r="M927" s="8" t="str">
        <x:v>https://apm.activecommunities.com/portlandparks/Activity_Search/music---drumming-together-for-women---intermediate/208831?locale=en-US</x:v>
      </x:c>
    </x:row>
    <x:row r="928" ht="38" customHeight="1">
      <x:c r="A928" s="7" t="str">
        <x:v>208466</x:v>
      </x:c>
      <x:c r="B928" s="12" t="str">
        <x:v>Music - Fiddling</x:v>
      </x:c>
      <x:c r="C928" s="12" t="str">
        <x:v>Cmty Music Ctr</x:v>
      </x:c>
      <x:c r="D928" s="12" t="str">
        <x:v>Music</x:v>
      </x:c>
      <x:c r="E928" s="7" t="str">
        <x:v>future</x:v>
      </x:c>
      <x:c r="F928" s="7" t="str">
        <x:v>2026-09-29</x:v>
      </x:c>
      <x:c r="G928" s="7" t="str">
        <x:v>2026-12-01</x:v>
      </x:c>
      <x:c r="H928" s="7" t="n">
        <x:v>4</x:v>
      </x:c>
      <x:c r="I928" s="7" t="n">
        <x:v>3</x:v>
      </x:c>
      <x:c r="J928" s="7" t="n">
        <x:v>6</x:v>
      </x:c>
      <x:c r="K928" s="7" t="str">
        <x:v>unverified-denominator</x:v>
      </x:c>
      <x:c r="L928" s="7" t="d">
        <x:v>2026-09-16T05:12:38.111Z</x:v>
      </x:c>
      <x:c r="M928" s="7" t="str">
        <x:v>https://apm.activecommunities.com/portlandparks/Activity_Search/music---fiddling/208466?locale=en-US</x:v>
      </x:c>
    </x:row>
    <x:row r="929" ht="38" customHeight="1">
      <x:c r="A929" s="8" t="str">
        <x:v>208095</x:v>
      </x:c>
      <x:c r="B929" s="11" t="str">
        <x:v>Music - Group Ukulele I</x:v>
      </x:c>
      <x:c r="C929" s="11" t="str">
        <x:v>Peninsula Park Cmty Ctr</x:v>
      </x:c>
      <x:c r="D929" s="11" t="str">
        <x:v>Music</x:v>
      </x:c>
      <x:c r="E929" s="8" t="str">
        <x:v>future</x:v>
      </x:c>
      <x:c r="F929" s="8" t="str">
        <x:v>2026-10-02</x:v>
      </x:c>
      <x:c r="G929" s="8" t="str">
        <x:v>2026-10-30</x:v>
      </x:c>
      <x:c r="H929" s="8" t="n">
        <x:v>3</x:v>
      </x:c>
      <x:c r="I929" s="8"/>
      <x:c r="J929" s="8" t="n">
        <x:v>12</x:v>
      </x:c>
      <x:c r="K929" s="8" t="str">
        <x:v>unverified-denominator</x:v>
      </x:c>
      <x:c r="L929" s="8" t="d">
        <x:v>2026-09-16T05:12:38.111Z</x:v>
      </x:c>
      <x:c r="M929" s="8" t="str">
        <x:v>https://apm.activecommunities.com/portlandparks/Activity_Search/music---group-ukulele-i/208095?locale=en-US</x:v>
      </x:c>
    </x:row>
    <x:row r="930" ht="38" customHeight="1">
      <x:c r="A930" s="7" t="str">
        <x:v>208099</x:v>
      </x:c>
      <x:c r="B930" s="12" t="str">
        <x:v>Music - Group Ukulele I</x:v>
      </x:c>
      <x:c r="C930" s="12" t="str">
        <x:v>Peninsula Park Cmty Ctr</x:v>
      </x:c>
      <x:c r="D930" s="12" t="str">
        <x:v>Music</x:v>
      </x:c>
      <x:c r="E930" s="7" t="str">
        <x:v>future</x:v>
      </x:c>
      <x:c r="F930" s="7" t="str">
        <x:v>2026-11-06</x:v>
      </x:c>
      <x:c r="G930" s="7" t="str">
        <x:v>2026-12-11</x:v>
      </x:c>
      <x:c r="H930" s="7" t="n">
        <x:v>0</x:v>
      </x:c>
      <x:c r="I930" s="7"/>
      <x:c r="J930" s="7" t="n">
        <x:v>12</x:v>
      </x:c>
      <x:c r="K930" s="7" t="str">
        <x:v>unverified-denominator</x:v>
      </x:c>
      <x:c r="L930" s="7" t="d">
        <x:v>2026-09-16T05:12:38.111Z</x:v>
      </x:c>
      <x:c r="M930" s="7" t="str">
        <x:v>https://apm.activecommunities.com/portlandparks/Activity_Search/music---group-ukulele-i/208099?locale=en-US</x:v>
      </x:c>
    </x:row>
    <x:row r="931" ht="38" customHeight="1">
      <x:c r="A931" s="8" t="str">
        <x:v>209043</x:v>
      </x:c>
      <x:c r="B931" s="11" t="str">
        <x:v>Music - Group Ukulele I</x:v>
      </x:c>
      <x:c r="C931" s="11" t="str">
        <x:v>St Johns Cmty Ctr</x:v>
      </x:c>
      <x:c r="D931" s="11" t="str">
        <x:v>Music</x:v>
      </x:c>
      <x:c r="E931" s="8" t="str">
        <x:v>future</x:v>
      </x:c>
      <x:c r="F931" s="8" t="str">
        <x:v>2026-09-30</x:v>
      </x:c>
      <x:c r="G931" s="8" t="str">
        <x:v>2026-10-28</x:v>
      </x:c>
      <x:c r="H931" s="8" t="n">
        <x:v>4</x:v>
      </x:c>
      <x:c r="I931" s="8"/>
      <x:c r="J931" s="8" t="n">
        <x:v>12</x:v>
      </x:c>
      <x:c r="K931" s="8" t="str">
        <x:v>unverified-denominator</x:v>
      </x:c>
      <x:c r="L931" s="8" t="d">
        <x:v>2026-09-16T05:12:38.111Z</x:v>
      </x:c>
      <x:c r="M931" s="8" t="str">
        <x:v>https://apm.activecommunities.com/portlandparks/Activity_Search/music---group-ukulele-i/209043?locale=en-US</x:v>
      </x:c>
    </x:row>
    <x:row r="932" ht="38" customHeight="1">
      <x:c r="A932" s="7" t="str">
        <x:v>208425</x:v>
      </x:c>
      <x:c r="B932" s="12" t="str">
        <x:v>Music - Group Ukulele II</x:v>
      </x:c>
      <x:c r="C932" s="12" t="str">
        <x:v>Peninsula Park Cmty Ctr</x:v>
      </x:c>
      <x:c r="D932" s="12" t="str">
        <x:v>Music</x:v>
      </x:c>
      <x:c r="E932" s="7" t="str">
        <x:v>future</x:v>
      </x:c>
      <x:c r="F932" s="7" t="str">
        <x:v>2026-10-02</x:v>
      </x:c>
      <x:c r="G932" s="7" t="str">
        <x:v>2026-10-30</x:v>
      </x:c>
      <x:c r="H932" s="7" t="n">
        <x:v>1</x:v>
      </x:c>
      <x:c r="I932" s="7"/>
      <x:c r="J932" s="7" t="n">
        <x:v>12</x:v>
      </x:c>
      <x:c r="K932" s="7" t="str">
        <x:v>unverified-denominator</x:v>
      </x:c>
      <x:c r="L932" s="7" t="d">
        <x:v>2026-09-16T05:12:38.111Z</x:v>
      </x:c>
      <x:c r="M932" s="7" t="str">
        <x:v>https://apm.activecommunities.com/portlandparks/Activity_Search/music---group-ukulele-ii/208425?locale=en-US</x:v>
      </x:c>
    </x:row>
    <x:row r="933" ht="38" customHeight="1">
      <x:c r="A933" s="8" t="str">
        <x:v>208426</x:v>
      </x:c>
      <x:c r="B933" s="11" t="str">
        <x:v>Music - Group Ukulele II</x:v>
      </x:c>
      <x:c r="C933" s="11" t="str">
        <x:v>Peninsula Park Cmty Ctr</x:v>
      </x:c>
      <x:c r="D933" s="11" t="str">
        <x:v>Music</x:v>
      </x:c>
      <x:c r="E933" s="8" t="str">
        <x:v>future</x:v>
      </x:c>
      <x:c r="F933" s="8" t="str">
        <x:v>2026-11-06</x:v>
      </x:c>
      <x:c r="G933" s="8" t="str">
        <x:v>2026-12-11</x:v>
      </x:c>
      <x:c r="H933" s="8" t="n">
        <x:v>0</x:v>
      </x:c>
      <x:c r="I933" s="8"/>
      <x:c r="J933" s="8" t="n">
        <x:v>12</x:v>
      </x:c>
      <x:c r="K933" s="8" t="str">
        <x:v>unverified-denominator</x:v>
      </x:c>
      <x:c r="L933" s="8" t="d">
        <x:v>2026-09-16T05:12:38.111Z</x:v>
      </x:c>
      <x:c r="M933" s="8" t="str">
        <x:v>https://apm.activecommunities.com/portlandparks/Activity_Search/music---group-ukulele-ii/208426?locale=en-US</x:v>
      </x:c>
    </x:row>
    <x:row r="934" ht="38" customHeight="1">
      <x:c r="A934" s="7" t="str">
        <x:v>207881</x:v>
      </x:c>
      <x:c r="B934" s="12" t="str">
        <x:v>Music - Guitar Circle Beginner</x:v>
      </x:c>
      <x:c r="C934" s="12" t="str">
        <x:v>Cmty Music Ctr</x:v>
      </x:c>
      <x:c r="D934" s="12" t="str">
        <x:v>Music</x:v>
      </x:c>
      <x:c r="E934" s="7" t="str">
        <x:v>future</x:v>
      </x:c>
      <x:c r="F934" s="7" t="str">
        <x:v>2026-09-30</x:v>
      </x:c>
      <x:c r="G934" s="7" t="str">
        <x:v>2026-12-09</x:v>
      </x:c>
      <x:c r="H934" s="7" t="n">
        <x:v>8</x:v>
      </x:c>
      <x:c r="I934" s="7" t="n">
        <x:v>1</x:v>
      </x:c>
      <x:c r="J934" s="7" t="n">
        <x:v>8</x:v>
      </x:c>
      <x:c r="K934" s="7" t="str">
        <x:v>unverified-denominator</x:v>
      </x:c>
      <x:c r="L934" s="7" t="d">
        <x:v>2026-09-16T05:12:38.111Z</x:v>
      </x:c>
      <x:c r="M934" s="7" t="str">
        <x:v>https://apm.activecommunities.com/portlandparks/Activity_Search/music---guitar-circle-beginner/207881?locale=en-US</x:v>
      </x:c>
    </x:row>
    <x:row r="935" ht="38" customHeight="1">
      <x:c r="A935" s="8" t="str">
        <x:v>207882</x:v>
      </x:c>
      <x:c r="B935" s="11" t="str">
        <x:v>Music - Guitar Circle Continuing</x:v>
      </x:c>
      <x:c r="C935" s="11" t="str">
        <x:v>Cmty Music Ctr</x:v>
      </x:c>
      <x:c r="D935" s="11" t="str">
        <x:v>Music</x:v>
      </x:c>
      <x:c r="E935" s="8" t="str">
        <x:v>future</x:v>
      </x:c>
      <x:c r="F935" s="8" t="str">
        <x:v>2026-09-30</x:v>
      </x:c>
      <x:c r="G935" s="8" t="str">
        <x:v>2026-12-09</x:v>
      </x:c>
      <x:c r="H935" s="8" t="n">
        <x:v>2</x:v>
      </x:c>
      <x:c r="I935" s="8"/>
      <x:c r="J935" s="8" t="n">
        <x:v>8</x:v>
      </x:c>
      <x:c r="K935" s="8" t="str">
        <x:v>unverified-denominator</x:v>
      </x:c>
      <x:c r="L935" s="8" t="d">
        <x:v>2026-09-16T05:12:38.111Z</x:v>
      </x:c>
      <x:c r="M935" s="8" t="str">
        <x:v>https://apm.activecommunities.com/portlandparks/Activity_Search/music---guitar-circle-continuing/207882?locale=en-US</x:v>
      </x:c>
    </x:row>
    <x:row r="936" ht="38" customHeight="1">
      <x:c r="A936" s="7" t="str">
        <x:v>207883</x:v>
      </x:c>
      <x:c r="B936" s="12" t="str">
        <x:v>Music - Guitar Circle Intermediate</x:v>
      </x:c>
      <x:c r="C936" s="12" t="str">
        <x:v>Cmty Music Ctr</x:v>
      </x:c>
      <x:c r="D936" s="12" t="str">
        <x:v>Music</x:v>
      </x:c>
      <x:c r="E936" s="7" t="str">
        <x:v>future</x:v>
      </x:c>
      <x:c r="F936" s="7" t="str">
        <x:v>2026-09-30</x:v>
      </x:c>
      <x:c r="G936" s="7" t="str">
        <x:v>2026-12-09</x:v>
      </x:c>
      <x:c r="H936" s="7" t="n">
        <x:v>7</x:v>
      </x:c>
      <x:c r="I936" s="7"/>
      <x:c r="J936" s="7" t="n">
        <x:v>8</x:v>
      </x:c>
      <x:c r="K936" s="7" t="str">
        <x:v>unverified-denominator</x:v>
      </x:c>
      <x:c r="L936" s="7" t="d">
        <x:v>2026-09-16T05:12:38.111Z</x:v>
      </x:c>
      <x:c r="M936" s="7" t="str">
        <x:v>https://apm.activecommunities.com/portlandparks/Activity_Search/music---guitar-circle-intermediate/207883?locale=en-US</x:v>
      </x:c>
    </x:row>
    <x:row r="937" ht="38" customHeight="1">
      <x:c r="A937" s="8" t="str">
        <x:v>208406</x:v>
      </x:c>
      <x:c r="B937" s="11" t="str">
        <x:v>Music - Guitar/ Bass/Ukulele for all ages</x:v>
      </x:c>
      <x:c r="C937" s="11" t="str">
        <x:v>Southwest Cmty Ctr</x:v>
      </x:c>
      <x:c r="D937" s="11" t="str">
        <x:v>Music</x:v>
      </x:c>
      <x:c r="E937" s="8" t="str">
        <x:v>future</x:v>
      </x:c>
      <x:c r="F937" s="8" t="str">
        <x:v>2026-09-29</x:v>
      </x:c>
      <x:c r="G937" s="8" t="str">
        <x:v>2026-12-01</x:v>
      </x:c>
      <x:c r="H937" s="8" t="n">
        <x:v>2</x:v>
      </x:c>
      <x:c r="I937" s="8"/>
      <x:c r="J937" s="8" t="n">
        <x:v>10</x:v>
      </x:c>
      <x:c r="K937" s="8" t="str">
        <x:v>unverified-denominator</x:v>
      </x:c>
      <x:c r="L937" s="8" t="d">
        <x:v>2026-09-16T05:12:38.111Z</x:v>
      </x:c>
      <x:c r="M937" s="8" t="str">
        <x:v>https://apm.activecommunities.com/portlandparks/Activity_Search/music---guitar-bass-ukulele-for-all-ages/208406?locale=en-US</x:v>
      </x:c>
    </x:row>
    <x:row r="938" ht="38" customHeight="1">
      <x:c r="A938" s="7" t="str">
        <x:v>207864</x:v>
      </x:c>
      <x:c r="B938" s="12" t="str">
        <x:v>Music - Intergenerational Piano Lab Beginners/Continuing</x:v>
      </x:c>
      <x:c r="C938" s="12" t="str">
        <x:v>Rosewood Initiative</x:v>
      </x:c>
      <x:c r="D938" s="12" t="str">
        <x:v>Music</x:v>
      </x:c>
      <x:c r="E938" s="7" t="str">
        <x:v>future</x:v>
      </x:c>
      <x:c r="F938" s="7" t="str">
        <x:v>2026-09-30</x:v>
      </x:c>
      <x:c r="G938" s="7" t="str">
        <x:v>2026-12-09</x:v>
      </x:c>
      <x:c r="H938" s="7" t="n">
        <x:v>4</x:v>
      </x:c>
      <x:c r="I938" s="7"/>
      <x:c r="J938" s="7" t="n">
        <x:v>8</x:v>
      </x:c>
      <x:c r="K938" s="7" t="str">
        <x:v>unverified-denominator</x:v>
      </x:c>
      <x:c r="L938" s="7" t="d">
        <x:v>2026-09-16T05:12:38.111Z</x:v>
      </x:c>
      <x:c r="M938" s="7" t="str">
        <x:v>https://apm.activecommunities.com/portlandparks/Activity_Search/music---intergenerational-piano-lab-beginners-continuing/207864?locale=en-US</x:v>
      </x:c>
    </x:row>
    <x:row r="939" ht="38" customHeight="1">
      <x:c r="A939" s="8" t="str">
        <x:v>207913</x:v>
      </x:c>
      <x:c r="B939" s="11" t="str">
        <x:v>Music - Marching &amp; Make Believe</x:v>
      </x:c>
      <x:c r="C939" s="11" t="str">
        <x:v>Woodstock Cmty Ctr</x:v>
      </x:c>
      <x:c r="D939" s="11" t="str">
        <x:v>Music</x:v>
      </x:c>
      <x:c r="E939" s="8" t="str">
        <x:v>future</x:v>
      </x:c>
      <x:c r="F939" s="8" t="str">
        <x:v>2026-11-12</x:v>
      </x:c>
      <x:c r="G939" s="8" t="str">
        <x:v>2026-12-10</x:v>
      </x:c>
      <x:c r="H939" s="8" t="n">
        <x:v>0</x:v>
      </x:c>
      <x:c r="I939" s="8"/>
      <x:c r="J939" s="8" t="n">
        <x:v>10</x:v>
      </x:c>
      <x:c r="K939" s="8" t="str">
        <x:v>unverified-denominator</x:v>
      </x:c>
      <x:c r="L939" s="8" t="d">
        <x:v>2026-09-16T05:12:38.111Z</x:v>
      </x:c>
      <x:c r="M939" s="8" t="str">
        <x:v>https://apm.activecommunities.com/portlandparks/Activity_Search/music---marching-make-believe/207913?locale=en-US</x:v>
      </x:c>
    </x:row>
    <x:row r="940" ht="38" customHeight="1">
      <x:c r="A940" s="7" t="str">
        <x:v>207914</x:v>
      </x:c>
      <x:c r="B940" s="12" t="str">
        <x:v>Music - Marching &amp; Make Believe</x:v>
      </x:c>
      <x:c r="C940" s="12" t="str">
        <x:v>Woodstock Cmty Ctr</x:v>
      </x:c>
      <x:c r="D940" s="12" t="str">
        <x:v>Music</x:v>
      </x:c>
      <x:c r="E940" s="7" t="str">
        <x:v>future</x:v>
      </x:c>
      <x:c r="F940" s="7" t="str">
        <x:v>2026-11-12</x:v>
      </x:c>
      <x:c r="G940" s="7" t="str">
        <x:v>2026-12-10</x:v>
      </x:c>
      <x:c r="H940" s="7" t="n">
        <x:v>0</x:v>
      </x:c>
      <x:c r="I940" s="7"/>
      <x:c r="J940" s="7" t="n">
        <x:v>10</x:v>
      </x:c>
      <x:c r="K940" s="7" t="str">
        <x:v>unverified-denominator</x:v>
      </x:c>
      <x:c r="L940" s="7" t="d">
        <x:v>2026-09-16T05:12:38.111Z</x:v>
      </x:c>
      <x:c r="M940" s="7" t="str">
        <x:v>https://apm.activecommunities.com/portlandparks/Activity_Search/music---marching-make-believe/207914?locale=en-US</x:v>
      </x:c>
    </x:row>
    <x:row r="941" ht="38" customHeight="1">
      <x:c r="A941" s="8" t="str">
        <x:v>207676</x:v>
      </x:c>
      <x:c r="B941" s="11" t="str">
        <x:v>Music - Marching &amp; Make Believe</x:v>
      </x:c>
      <x:c r="C941" s="11" t="str">
        <x:v>Woodstock Cmty Ctr</x:v>
      </x:c>
      <x:c r="D941" s="11" t="str">
        <x:v>Music</x:v>
      </x:c>
      <x:c r="E941" s="8" t="str">
        <x:v>future</x:v>
      </x:c>
      <x:c r="F941" s="8" t="str">
        <x:v>2026-10-01</x:v>
      </x:c>
      <x:c r="G941" s="8" t="str">
        <x:v>2026-10-29</x:v>
      </x:c>
      <x:c r="H941" s="8" t="n">
        <x:v>7</x:v>
      </x:c>
      <x:c r="I941" s="8"/>
      <x:c r="J941" s="8" t="n">
        <x:v>10</x:v>
      </x:c>
      <x:c r="K941" s="8" t="str">
        <x:v>unverified-denominator</x:v>
      </x:c>
      <x:c r="L941" s="8" t="d">
        <x:v>2026-09-16T05:12:38.111Z</x:v>
      </x:c>
      <x:c r="M941" s="8" t="str">
        <x:v>https://apm.activecommunities.com/portlandparks/Activity_Search/music---marching-make-believe/207676?locale=en-US</x:v>
      </x:c>
    </x:row>
    <x:row r="942" ht="38" customHeight="1">
      <x:c r="A942" s="7" t="str">
        <x:v>207677</x:v>
      </x:c>
      <x:c r="B942" s="12" t="str">
        <x:v>Music - Marching &amp; Make Believe</x:v>
      </x:c>
      <x:c r="C942" s="12" t="str">
        <x:v>Woodstock Cmty Ctr</x:v>
      </x:c>
      <x:c r="D942" s="12" t="str">
        <x:v>Music</x:v>
      </x:c>
      <x:c r="E942" s="7" t="str">
        <x:v>future</x:v>
      </x:c>
      <x:c r="F942" s="7" t="str">
        <x:v>2026-10-01</x:v>
      </x:c>
      <x:c r="G942" s="7" t="str">
        <x:v>2026-10-29</x:v>
      </x:c>
      <x:c r="H942" s="7" t="n">
        <x:v>5</x:v>
      </x:c>
      <x:c r="I942" s="7"/>
      <x:c r="J942" s="7" t="n">
        <x:v>10</x:v>
      </x:c>
      <x:c r="K942" s="7" t="str">
        <x:v>unverified-denominator</x:v>
      </x:c>
      <x:c r="L942" s="7" t="d">
        <x:v>2026-09-16T05:12:38.111Z</x:v>
      </x:c>
      <x:c r="M942" s="7" t="str">
        <x:v>https://apm.activecommunities.com/portlandparks/Activity_Search/music---marching-make-believe/207677?locale=en-US</x:v>
      </x:c>
    </x:row>
    <x:row r="943" ht="38" customHeight="1">
      <x:c r="A943" s="8" t="str">
        <x:v>207289</x:v>
      </x:c>
      <x:c r="B943" s="11" t="str">
        <x:v>Music - Marching &amp; Make Believe</x:v>
      </x:c>
      <x:c r="C943" s="11" t="str">
        <x:v>Woodstock Cmty Ctr</x:v>
      </x:c>
      <x:c r="D943" s="11" t="str">
        <x:v>Music</x:v>
      </x:c>
      <x:c r="E943" s="8" t="str">
        <x:v>active</x:v>
      </x:c>
      <x:c r="F943" s="8" t="str">
        <x:v>2026-09-03</x:v>
      </x:c>
      <x:c r="G943" s="8" t="str">
        <x:v>2026-09-24</x:v>
      </x:c>
      <x:c r="H943" s="8" t="n">
        <x:v>10</x:v>
      </x:c>
      <x:c r="I943" s="8"/>
      <x:c r="J943" s="8" t="n">
        <x:v>10</x:v>
      </x:c>
      <x:c r="K943" s="8" t="str">
        <x:v>unverified-denominator</x:v>
      </x:c>
      <x:c r="L943" s="8" t="d">
        <x:v>2026-09-16T05:12:38.111Z</x:v>
      </x:c>
      <x:c r="M943" s="8" t="str">
        <x:v>https://apm.activecommunities.com/portlandparks/Activity_Search/music---marching-make-believe/207289?locale=en-US</x:v>
      </x:c>
    </x:row>
    <x:row r="944" ht="38" customHeight="1">
      <x:c r="A944" s="7" t="str">
        <x:v>207290</x:v>
      </x:c>
      <x:c r="B944" s="12" t="str">
        <x:v>Music - Marching &amp; Make Believe</x:v>
      </x:c>
      <x:c r="C944" s="12" t="str">
        <x:v>Woodstock Cmty Ctr</x:v>
      </x:c>
      <x:c r="D944" s="12" t="str">
        <x:v>Music</x:v>
      </x:c>
      <x:c r="E944" s="7" t="str">
        <x:v>active</x:v>
      </x:c>
      <x:c r="F944" s="7" t="str">
        <x:v>2026-09-03</x:v>
      </x:c>
      <x:c r="G944" s="7" t="str">
        <x:v>2026-09-24</x:v>
      </x:c>
      <x:c r="H944" s="7" t="n">
        <x:v>10</x:v>
      </x:c>
      <x:c r="I944" s="7"/>
      <x:c r="J944" s="7" t="n">
        <x:v>10</x:v>
      </x:c>
      <x:c r="K944" s="7" t="str">
        <x:v>unverified-denominator</x:v>
      </x:c>
      <x:c r="L944" s="7" t="d">
        <x:v>2026-09-16T05:12:38.111Z</x:v>
      </x:c>
      <x:c r="M944" s="7" t="str">
        <x:v>https://apm.activecommunities.com/portlandparks/Activity_Search/music---marching-make-believe/207290?locale=en-US</x:v>
      </x:c>
    </x:row>
    <x:row r="945" ht="38" customHeight="1">
      <x:c r="A945" s="8" t="str">
        <x:v>207479</x:v>
      </x:c>
      <x:c r="B945" s="11" t="str">
        <x:v>Music - Multnomah Chorus</x:v>
      </x:c>
      <x:c r="C945" s="11" t="str">
        <x:v>Multnomah Arts Ctr</x:v>
      </x:c>
      <x:c r="D945" s="11" t="str">
        <x:v>Music</x:v>
      </x:c>
      <x:c r="E945" s="8" t="str">
        <x:v>future</x:v>
      </x:c>
      <x:c r="F945" s="8" t="str">
        <x:v>2026-09-30</x:v>
      </x:c>
      <x:c r="G945" s="8" t="str">
        <x:v>2026-11-18</x:v>
      </x:c>
      <x:c r="H945" s="8" t="n">
        <x:v>69</x:v>
      </x:c>
      <x:c r="I945" s="8"/>
      <x:c r="J945" s="8" t="n">
        <x:v>90</x:v>
      </x:c>
      <x:c r="K945" s="8" t="str">
        <x:v>unverified-denominator</x:v>
      </x:c>
      <x:c r="L945" s="8" t="d">
        <x:v>2026-09-16T05:12:38.111Z</x:v>
      </x:c>
      <x:c r="M945" s="8" t="str">
        <x:v>https://apm.activecommunities.com/portlandparks/Activity_Search/music---multnomah-chorus/207479?locale=en-US</x:v>
      </x:c>
    </x:row>
    <x:row r="946" ht="38" customHeight="1">
      <x:c r="A946" s="7" t="str">
        <x:v>209005</x:v>
      </x:c>
      <x:c r="B946" s="12" t="str">
        <x:v>Music - Musical Theatre Workshop</x:v>
      </x:c>
      <x:c r="C946" s="12" t="str">
        <x:v>Multnomah Arts Ctr</x:v>
      </x:c>
      <x:c r="D946" s="12" t="str">
        <x:v>Music</x:v>
      </x:c>
      <x:c r="E946" s="7" t="str">
        <x:v>undated</x:v>
      </x:c>
      <x:c r="F946" s="7" t="str">
        <x:v>2026-10-22</x:v>
      </x:c>
      <x:c r="G946" s="7" t="str"/>
      <x:c r="H946" s="7" t="n">
        <x:v>6</x:v>
      </x:c>
      <x:c r="I946" s="7"/>
      <x:c r="J946" s="7" t="n">
        <x:v>10</x:v>
      </x:c>
      <x:c r="K946" s="7" t="str">
        <x:v>unverified-denominator</x:v>
      </x:c>
      <x:c r="L946" s="7" t="d">
        <x:v>2026-09-16T05:12:38.111Z</x:v>
      </x:c>
      <x:c r="M946" s="7" t="str">
        <x:v>https://apm.activecommunities.com/portlandparks/Activity_Search/music---musical-theatre-workshop/209005?locale=en-US</x:v>
      </x:c>
    </x:row>
    <x:row r="947" ht="38" customHeight="1">
      <x:c r="A947" s="8" t="str">
        <x:v>208458</x:v>
      </x:c>
      <x:c r="B947" s="11" t="str">
        <x:v>Music - Percussion Ensemble</x:v>
      </x:c>
      <x:c r="C947" s="11" t="str">
        <x:v>Cmty Music Ctr</x:v>
      </x:c>
      <x:c r="D947" s="11" t="str">
        <x:v>Music</x:v>
      </x:c>
      <x:c r="E947" s="8" t="str">
        <x:v>future</x:v>
      </x:c>
      <x:c r="F947" s="8" t="str">
        <x:v>2026-09-30</x:v>
      </x:c>
      <x:c r="G947" s="8" t="str">
        <x:v>2027-06-02</x:v>
      </x:c>
      <x:c r="H947" s="8" t="n">
        <x:v>1</x:v>
      </x:c>
      <x:c r="I947" s="8"/>
      <x:c r="J947" s="8" t="n">
        <x:v>8</x:v>
      </x:c>
      <x:c r="K947" s="8" t="str">
        <x:v>unverified-denominator</x:v>
      </x:c>
      <x:c r="L947" s="8" t="d">
        <x:v>2026-09-16T05:12:38.111Z</x:v>
      </x:c>
      <x:c r="M947" s="8" t="str">
        <x:v>https://apm.activecommunities.com/portlandparks/Activity_Search/music---percussion-ensemble/208458?locale=en-US</x:v>
      </x:c>
    </x:row>
    <x:row r="948" ht="38" customHeight="1">
      <x:c r="A948" s="7" t="str">
        <x:v>208832</x:v>
      </x:c>
      <x:c r="B948" s="12" t="str">
        <x:v>Music - Piano Beginning</x:v>
      </x:c>
      <x:c r="C948" s="12" t="str">
        <x:v>Cmty Music Ctr</x:v>
      </x:c>
      <x:c r="D948" s="12" t="str">
        <x:v>Music</x:v>
      </x:c>
      <x:c r="E948" s="7" t="str">
        <x:v>future</x:v>
      </x:c>
      <x:c r="F948" s="7" t="str">
        <x:v>2026-10-02</x:v>
      </x:c>
      <x:c r="G948" s="7" t="str">
        <x:v>2026-12-11</x:v>
      </x:c>
      <x:c r="H948" s="7" t="n">
        <x:v>5</x:v>
      </x:c>
      <x:c r="I948" s="7"/>
      <x:c r="J948" s="7" t="n">
        <x:v>7</x:v>
      </x:c>
      <x:c r="K948" s="7" t="str">
        <x:v>unverified-denominator</x:v>
      </x:c>
      <x:c r="L948" s="7" t="d">
        <x:v>2026-09-16T05:12:38.111Z</x:v>
      </x:c>
      <x:c r="M948" s="7" t="str">
        <x:v>https://apm.activecommunities.com/portlandparks/Activity_Search/music---piano-beginning/208832?locale=en-US</x:v>
      </x:c>
    </x:row>
    <x:row r="949" ht="38" customHeight="1">
      <x:c r="A949" s="8" t="str">
        <x:v>208226</x:v>
      </x:c>
      <x:c r="B949" s="11" t="str">
        <x:v>Music - Piano Continuing</x:v>
      </x:c>
      <x:c r="C949" s="11" t="str">
        <x:v>Cmty Music Ctr</x:v>
      </x:c>
      <x:c r="D949" s="11" t="str">
        <x:v>Music</x:v>
      </x:c>
      <x:c r="E949" s="8" t="str">
        <x:v>future</x:v>
      </x:c>
      <x:c r="F949" s="8" t="str">
        <x:v>2026-09-29</x:v>
      </x:c>
      <x:c r="G949" s="8" t="str">
        <x:v>2026-12-01</x:v>
      </x:c>
      <x:c r="H949" s="8" t="n">
        <x:v>4</x:v>
      </x:c>
      <x:c r="I949" s="8"/>
      <x:c r="J949" s="8" t="n">
        <x:v>8</x:v>
      </x:c>
      <x:c r="K949" s="8" t="str">
        <x:v>unverified-denominator</x:v>
      </x:c>
      <x:c r="L949" s="8" t="d">
        <x:v>2026-09-16T05:12:38.111Z</x:v>
      </x:c>
      <x:c r="M949" s="8" t="str">
        <x:v>https://apm.activecommunities.com/portlandparks/Activity_Search/music---piano-continuing/208226?locale=en-US</x:v>
      </x:c>
    </x:row>
    <x:row r="950" ht="38" customHeight="1">
      <x:c r="A950" s="7" t="str">
        <x:v>208239</x:v>
      </x:c>
      <x:c r="B950" s="12" t="str">
        <x:v>Music - Piano Continuing</x:v>
      </x:c>
      <x:c r="C950" s="12" t="str">
        <x:v>Cmty Music Ctr</x:v>
      </x:c>
      <x:c r="D950" s="12" t="str">
        <x:v>Music</x:v>
      </x:c>
      <x:c r="E950" s="7" t="str">
        <x:v>future</x:v>
      </x:c>
      <x:c r="F950" s="7" t="str">
        <x:v>2026-09-29</x:v>
      </x:c>
      <x:c r="G950" s="7" t="str">
        <x:v>2026-12-01</x:v>
      </x:c>
      <x:c r="H950" s="7" t="n">
        <x:v>2</x:v>
      </x:c>
      <x:c r="I950" s="7"/>
      <x:c r="J950" s="7" t="n">
        <x:v>8</x:v>
      </x:c>
      <x:c r="K950" s="7" t="str">
        <x:v>unverified-denominator</x:v>
      </x:c>
      <x:c r="L950" s="7" t="d">
        <x:v>2026-09-16T05:12:38.111Z</x:v>
      </x:c>
      <x:c r="M950" s="7" t="str">
        <x:v>https://apm.activecommunities.com/portlandparks/Activity_Search/music---piano-continuing/208239?locale=en-US</x:v>
      </x:c>
    </x:row>
    <x:row r="951" ht="38" customHeight="1">
      <x:c r="A951" s="8" t="str">
        <x:v>208240</x:v>
      </x:c>
      <x:c r="B951" s="11" t="str">
        <x:v>Music - Piano Continuing</x:v>
      </x:c>
      <x:c r="C951" s="11" t="str">
        <x:v>Cmty Music Ctr</x:v>
      </x:c>
      <x:c r="D951" s="11" t="str">
        <x:v>Music</x:v>
      </x:c>
      <x:c r="E951" s="8" t="str">
        <x:v>future</x:v>
      </x:c>
      <x:c r="F951" s="8" t="str">
        <x:v>2026-09-29</x:v>
      </x:c>
      <x:c r="G951" s="8" t="str">
        <x:v>2026-12-01</x:v>
      </x:c>
      <x:c r="H951" s="8" t="n">
        <x:v>6</x:v>
      </x:c>
      <x:c r="I951" s="8"/>
      <x:c r="J951" s="8" t="n">
        <x:v>8</x:v>
      </x:c>
      <x:c r="K951" s="8" t="str">
        <x:v>unverified-denominator</x:v>
      </x:c>
      <x:c r="L951" s="8" t="d">
        <x:v>2026-09-16T05:12:38.111Z</x:v>
      </x:c>
      <x:c r="M951" s="8" t="str">
        <x:v>https://apm.activecommunities.com/portlandparks/Activity_Search/music---piano-continuing/208240?locale=en-US</x:v>
      </x:c>
    </x:row>
    <x:row r="952" ht="38" customHeight="1">
      <x:c r="A952" s="7" t="str">
        <x:v>208241</x:v>
      </x:c>
      <x:c r="B952" s="12" t="str">
        <x:v>Music - Piano Continuing</x:v>
      </x:c>
      <x:c r="C952" s="12" t="str">
        <x:v>Cmty Music Ctr</x:v>
      </x:c>
      <x:c r="D952" s="12" t="str">
        <x:v>Music</x:v>
      </x:c>
      <x:c r="E952" s="7" t="str">
        <x:v>future</x:v>
      </x:c>
      <x:c r="F952" s="7" t="str">
        <x:v>2026-09-30</x:v>
      </x:c>
      <x:c r="G952" s="7" t="str">
        <x:v>2026-12-09</x:v>
      </x:c>
      <x:c r="H952" s="7" t="n">
        <x:v>6</x:v>
      </x:c>
      <x:c r="I952" s="7"/>
      <x:c r="J952" s="7" t="n">
        <x:v>8</x:v>
      </x:c>
      <x:c r="K952" s="7" t="str">
        <x:v>unverified-denominator</x:v>
      </x:c>
      <x:c r="L952" s="7" t="d">
        <x:v>2026-09-16T05:12:38.111Z</x:v>
      </x:c>
      <x:c r="M952" s="7" t="str">
        <x:v>https://apm.activecommunities.com/portlandparks/Activity_Search/music---piano-continuing/208241?locale=en-US</x:v>
      </x:c>
    </x:row>
    <x:row r="953" ht="38" customHeight="1">
      <x:c r="A953" s="8" t="str">
        <x:v>208242</x:v>
      </x:c>
      <x:c r="B953" s="11" t="str">
        <x:v>Music - Piano Continuing</x:v>
      </x:c>
      <x:c r="C953" s="11" t="str">
        <x:v>Cmty Music Ctr</x:v>
      </x:c>
      <x:c r="D953" s="11" t="str">
        <x:v>Music</x:v>
      </x:c>
      <x:c r="E953" s="8" t="str">
        <x:v>future</x:v>
      </x:c>
      <x:c r="F953" s="8" t="str">
        <x:v>2026-09-30</x:v>
      </x:c>
      <x:c r="G953" s="8" t="str">
        <x:v>2026-12-09</x:v>
      </x:c>
      <x:c r="H953" s="8" t="n">
        <x:v>2</x:v>
      </x:c>
      <x:c r="I953" s="8"/>
      <x:c r="J953" s="8" t="n">
        <x:v>8</x:v>
      </x:c>
      <x:c r="K953" s="8" t="str">
        <x:v>unverified-denominator</x:v>
      </x:c>
      <x:c r="L953" s="8" t="d">
        <x:v>2026-09-16T05:12:38.111Z</x:v>
      </x:c>
      <x:c r="M953" s="8" t="str">
        <x:v>https://apm.activecommunities.com/portlandparks/Activity_Search/music---piano-continuing/208242?locale=en-US</x:v>
      </x:c>
    </x:row>
    <x:row r="954" ht="38" customHeight="1">
      <x:c r="A954" s="7" t="str">
        <x:v>208826</x:v>
      </x:c>
      <x:c r="B954" s="12" t="str">
        <x:v>Music - Piano Teen - Year 1 - Level 1</x:v>
      </x:c>
      <x:c r="C954" s="12" t="str">
        <x:v>Cmty Music Ctr</x:v>
      </x:c>
      <x:c r="D954" s="12" t="str">
        <x:v>Music</x:v>
      </x:c>
      <x:c r="E954" s="7" t="str">
        <x:v>future</x:v>
      </x:c>
      <x:c r="F954" s="7" t="str">
        <x:v>2026-10-01</x:v>
      </x:c>
      <x:c r="G954" s="7" t="str">
        <x:v>2027-06-03</x:v>
      </x:c>
      <x:c r="H954" s="7" t="n">
        <x:v>4</x:v>
      </x:c>
      <x:c r="I954" s="7"/>
      <x:c r="J954" s="7" t="n">
        <x:v>7</x:v>
      </x:c>
      <x:c r="K954" s="7" t="str">
        <x:v>unverified-denominator</x:v>
      </x:c>
      <x:c r="L954" s="7" t="d">
        <x:v>2026-09-16T05:12:38.111Z</x:v>
      </x:c>
      <x:c r="M954" s="7" t="str">
        <x:v>https://apm.activecommunities.com/portlandparks/Activity_Search/music---piano-teen---year-1---level-1/208826?locale=en-US</x:v>
      </x:c>
    </x:row>
    <x:row r="955" ht="38" customHeight="1">
      <x:c r="A955" s="8" t="str">
        <x:v>208800</x:v>
      </x:c>
      <x:c r="B955" s="11" t="str">
        <x:v>Music - Piano Teen Beginner - Y.O.U.TH</x:v>
      </x:c>
      <x:c r="C955" s="11" t="str">
        <x:v>At the Y.O.U.TH center - 16126 SE Stark St, Portland, OR 97233</x:v>
      </x:c>
      <x:c r="D955" s="11" t="str">
        <x:v>Music</x:v>
      </x:c>
      <x:c r="E955" s="8" t="str">
        <x:v>future</x:v>
      </x:c>
      <x:c r="F955" s="8" t="str">
        <x:v>2026-10-12</x:v>
      </x:c>
      <x:c r="G955" s="8" t="str">
        <x:v>2027-05-24</x:v>
      </x:c>
      <x:c r="H955" s="8" t="n">
        <x:v>2</x:v>
      </x:c>
      <x:c r="I955" s="8"/>
      <x:c r="J955" s="8" t="n">
        <x:v>4</x:v>
      </x:c>
      <x:c r="K955" s="8" t="str">
        <x:v>unverified-denominator</x:v>
      </x:c>
      <x:c r="L955" s="8" t="d">
        <x:v>2026-09-16T05:12:38.111Z</x:v>
      </x:c>
      <x:c r="M955" s="8" t="str">
        <x:v>https://apm.activecommunities.com/portlandparks/Activity_Search/music---piano-teen-beginner---y-o-u-th/208800?locale=en-US</x:v>
      </x:c>
    </x:row>
    <x:row r="956" ht="38" customHeight="1">
      <x:c r="A956" s="7" t="str">
        <x:v>208825</x:v>
      </x:c>
      <x:c r="B956" s="12" t="str">
        <x:v>Music - Piano Year 1 (waitlist for lottery registration)</x:v>
      </x:c>
      <x:c r="C956" s="12" t="str">
        <x:v>Cmty Music Ctr</x:v>
      </x:c>
      <x:c r="D956" s="12" t="str">
        <x:v>Music</x:v>
      </x:c>
      <x:c r="E956" s="7" t="str">
        <x:v>future</x:v>
      </x:c>
      <x:c r="F956" s="7" t="str">
        <x:v>2026-10-01</x:v>
      </x:c>
      <x:c r="G956" s="7" t="str">
        <x:v>2027-06-03</x:v>
      </x:c>
      <x:c r="H956" s="7" t="n">
        <x:v>1</x:v>
      </x:c>
      <x:c r="I956" s="7" t="n">
        <x:v>8</x:v>
      </x:c>
      <x:c r="J956" s="7" t="n">
        <x:v>1</x:v>
      </x:c>
      <x:c r="K956" s="7" t="str">
        <x:v>unverified-denominator</x:v>
      </x:c>
      <x:c r="L956" s="7" t="d">
        <x:v>2026-09-16T05:12:38.111Z</x:v>
      </x:c>
      <x:c r="M956" s="7" t="str">
        <x:v>https://apm.activecommunities.com/portlandparks/Activity_Search/music---piano-year-1-waitlist-for-lottery-registration/208825?locale=en-US</x:v>
      </x:c>
    </x:row>
    <x:row r="957" ht="38" customHeight="1">
      <x:c r="A957" s="8" t="str">
        <x:v>208820</x:v>
      </x:c>
      <x:c r="B957" s="11" t="str">
        <x:v>Music - Piano Year 1 (waitlist for lottery registration)</x:v>
      </x:c>
      <x:c r="C957" s="11" t="str">
        <x:v>Cmty Music Ctr</x:v>
      </x:c>
      <x:c r="D957" s="11" t="str">
        <x:v>Music</x:v>
      </x:c>
      <x:c r="E957" s="8" t="str">
        <x:v>future</x:v>
      </x:c>
      <x:c r="F957" s="8" t="str">
        <x:v>2026-09-30</x:v>
      </x:c>
      <x:c r="G957" s="8" t="str">
        <x:v>2027-06-02</x:v>
      </x:c>
      <x:c r="H957" s="8" t="n">
        <x:v>3</x:v>
      </x:c>
      <x:c r="I957" s="8" t="n">
        <x:v>13</x:v>
      </x:c>
      <x:c r="J957" s="8" t="n">
        <x:v>1</x:v>
      </x:c>
      <x:c r="K957" s="8" t="str">
        <x:v>unverified-denominator</x:v>
      </x:c>
      <x:c r="L957" s="8" t="d">
        <x:v>2026-09-16T05:12:38.111Z</x:v>
      </x:c>
      <x:c r="M957" s="8" t="str">
        <x:v>https://apm.activecommunities.com/portlandparks/Activity_Search/music---piano-year-1-waitlist-for-lottery-registration/208820?locale=en-US</x:v>
      </x:c>
    </x:row>
    <x:row r="958" ht="38" customHeight="1">
      <x:c r="A958" s="7" t="str">
        <x:v>209040</x:v>
      </x:c>
      <x:c r="B958" s="12" t="str">
        <x:v>Music - Piano Year 1 (waitlist for lottery registration)</x:v>
      </x:c>
      <x:c r="C958" s="12" t="str">
        <x:v>Cmty Music Ctr</x:v>
      </x:c>
      <x:c r="D958" s="12" t="str">
        <x:v>Music</x:v>
      </x:c>
      <x:c r="E958" s="7" t="str">
        <x:v>future</x:v>
      </x:c>
      <x:c r="F958" s="7" t="str">
        <x:v>2026-09-29</x:v>
      </x:c>
      <x:c r="G958" s="7" t="str">
        <x:v>2027-06-01</x:v>
      </x:c>
      <x:c r="H958" s="7" t="n">
        <x:v>1</x:v>
      </x:c>
      <x:c r="I958" s="7" t="n">
        <x:v>13</x:v>
      </x:c>
      <x:c r="J958" s="7" t="n">
        <x:v>1</x:v>
      </x:c>
      <x:c r="K958" s="7" t="str">
        <x:v>unverified-denominator</x:v>
      </x:c>
      <x:c r="L958" s="7" t="d">
        <x:v>2026-09-16T05:12:38.111Z</x:v>
      </x:c>
      <x:c r="M958" s="7" t="str">
        <x:v>https://apm.activecommunities.com/portlandparks/Activity_Search/music---piano-year-1-waitlist-for-lottery-registration/209040?locale=en-US</x:v>
      </x:c>
    </x:row>
    <x:row r="959" ht="38" customHeight="1">
      <x:c r="A959" s="8" t="str">
        <x:v>208797</x:v>
      </x:c>
      <x:c r="B959" s="11" t="str">
        <x:v>Music - Piano Year 1 Y.O.U.TH Center (waitlist for lottery)</x:v>
      </x:c>
      <x:c r="C959" s="11" t="str">
        <x:v>At the Y.O.U.TH center - 16126 SE Stark St, Portland, OR 97233</x:v>
      </x:c>
      <x:c r="D959" s="11" t="str">
        <x:v>Music</x:v>
      </x:c>
      <x:c r="E959" s="8" t="str">
        <x:v>future</x:v>
      </x:c>
      <x:c r="F959" s="8" t="str">
        <x:v>2026-10-12</x:v>
      </x:c>
      <x:c r="G959" s="8" t="str">
        <x:v>2027-05-24</x:v>
      </x:c>
      <x:c r="H959" s="8" t="n">
        <x:v>1</x:v>
      </x:c>
      <x:c r="I959" s="8" t="n">
        <x:v>9</x:v>
      </x:c>
      <x:c r="J959" s="8" t="n">
        <x:v>1</x:v>
      </x:c>
      <x:c r="K959" s="8" t="str">
        <x:v>unverified-denominator</x:v>
      </x:c>
      <x:c r="L959" s="8" t="d">
        <x:v>2026-09-16T05:12:38.111Z</x:v>
      </x:c>
      <x:c r="M959" s="8" t="str">
        <x:v>https://apm.activecommunities.com/portlandparks/Activity_Search/music---piano-year-1-y-o-u-th-center-waitlist-for-lottery/208797?locale=en-US</x:v>
      </x:c>
    </x:row>
    <x:row r="960" ht="38" customHeight="1">
      <x:c r="A960" s="7" t="str">
        <x:v>207940</x:v>
      </x:c>
      <x:c r="B960" s="12" t="str">
        <x:v>Music - Recorder Ensemble: Intermediate to Advanced</x:v>
      </x:c>
      <x:c r="C960" s="12" t="str">
        <x:v>Cmty Music Ctr</x:v>
      </x:c>
      <x:c r="D960" s="12" t="str">
        <x:v>Music</x:v>
      </x:c>
      <x:c r="E960" s="7" t="str">
        <x:v>future</x:v>
      </x:c>
      <x:c r="F960" s="7" t="str">
        <x:v>2026-10-15</x:v>
      </x:c>
      <x:c r="G960" s="7" t="str">
        <x:v>2026-12-10</x:v>
      </x:c>
      <x:c r="H960" s="7" t="n">
        <x:v>7</x:v>
      </x:c>
      <x:c r="I960" s="7"/>
      <x:c r="J960" s="7" t="n">
        <x:v>16</x:v>
      </x:c>
      <x:c r="K960" s="7" t="str">
        <x:v>unverified-denominator</x:v>
      </x:c>
      <x:c r="L960" s="7" t="d">
        <x:v>2026-09-16T05:12:38.111Z</x:v>
      </x:c>
      <x:c r="M960" s="7" t="str">
        <x:v>https://apm.activecommunities.com/portlandparks/Activity_Search/music---recorder-ensemble-intermediate-to-advanced/207940?locale=en-US</x:v>
      </x:c>
    </x:row>
    <x:row r="961" ht="38" customHeight="1">
      <x:c r="A961" s="8" t="str">
        <x:v>199320</x:v>
      </x:c>
      <x:c r="B961" s="11" t="str">
        <x:v>Music - Rose City Singers</x:v>
      </x:c>
      <x:c r="C961" s="11" t="str">
        <x:v>Community Music Center</x:v>
      </x:c>
      <x:c r="D961" s="11" t="str">
        <x:v>Music</x:v>
      </x:c>
      <x:c r="E961" s="8" t="str">
        <x:v>active</x:v>
      </x:c>
      <x:c r="F961" s="8" t="str">
        <x:v>2026-09-14</x:v>
      </x:c>
      <x:c r="G961" s="8" t="str">
        <x:v>2026-10-05</x:v>
      </x:c>
      <x:c r="H961" s="8" t="n">
        <x:v>24</x:v>
      </x:c>
      <x:c r="I961" s="8"/>
      <x:c r="J961" s="8" t="n">
        <x:v>26</x:v>
      </x:c>
      <x:c r="K961" s="8" t="str">
        <x:v>unverified-denominator</x:v>
      </x:c>
      <x:c r="L961" s="8" t="d">
        <x:v>2026-09-16T05:12:38.111Z</x:v>
      </x:c>
      <x:c r="M961" s="8" t="str">
        <x:v>https://apm.activecommunities.com/portlandparks/Activity_Search/music---rose-city-singers/199320?locale=en-US</x:v>
      </x:c>
    </x:row>
    <x:row r="962" ht="38" customHeight="1">
      <x:c r="A962" s="7" t="str">
        <x:v>160845</x:v>
      </x:c>
      <x:c r="B962" s="12" t="str">
        <x:v>Music - School Year Private Lessons</x:v>
      </x:c>
      <x:c r="C962" s="12" t="str">
        <x:v>N/A</x:v>
      </x:c>
      <x:c r="D962" s="12" t="str">
        <x:v>Music</x:v>
      </x:c>
      <x:c r="E962" s="7" t="str">
        <x:v>future</x:v>
      </x:c>
      <x:c r="F962" s="7" t="str">
        <x:v>2026-09-28</x:v>
      </x:c>
      <x:c r="G962" s="7" t="str">
        <x:v>2027-06-05</x:v>
      </x:c>
      <x:c r="H962" s="7" t="n">
        <x:v>0</x:v>
      </x:c>
      <x:c r="I962" s="7"/>
      <x:c r="J962" s="7" t="n">
        <x:v>-1</x:v>
      </x:c>
      <x:c r="K962" s="7" t="str">
        <x:v>unverified-denominator</x:v>
      </x:c>
      <x:c r="L962" s="7" t="d">
        <x:v>2026-09-16T05:12:38.111Z</x:v>
      </x:c>
      <x:c r="M962" s="7" t="str">
        <x:v>https://apm.activecommunities.com/portlandparks/Activity_Search/music---school-year-private-lessons/160845?locale=en-US</x:v>
      </x:c>
    </x:row>
    <x:row r="963" ht="38" customHeight="1">
      <x:c r="A963" s="8" t="str">
        <x:v>208555</x:v>
      </x:c>
      <x:c r="B963" s="11" t="str">
        <x:v>Music - Senior Piano Lab: Beginning</x:v>
      </x:c>
      <x:c r="C963" s="11" t="str">
        <x:v>Multnomah Arts Ctr</x:v>
      </x:c>
      <x:c r="D963" s="11" t="str">
        <x:v>Music</x:v>
      </x:c>
      <x:c r="E963" s="8" t="str">
        <x:v>future</x:v>
      </x:c>
      <x:c r="F963" s="8" t="str">
        <x:v>2026-10-01</x:v>
      </x:c>
      <x:c r="G963" s="8" t="str">
        <x:v>2026-12-10</x:v>
      </x:c>
      <x:c r="H963" s="8" t="n">
        <x:v>9</x:v>
      </x:c>
      <x:c r="I963" s="8" t="n">
        <x:v>1</x:v>
      </x:c>
      <x:c r="J963" s="8" t="n">
        <x:v>8</x:v>
      </x:c>
      <x:c r="K963" s="8" t="str">
        <x:v>unverified-denominator</x:v>
      </x:c>
      <x:c r="L963" s="8" t="d">
        <x:v>2026-09-16T05:12:38.111Z</x:v>
      </x:c>
      <x:c r="M963" s="8" t="str">
        <x:v>https://apm.activecommunities.com/portlandparks/Activity_Search/music---senior-piano-lab-beginning/208555?locale=en-US</x:v>
      </x:c>
    </x:row>
    <x:row r="964" ht="38" customHeight="1">
      <x:c r="A964" s="7" t="str">
        <x:v>208552</x:v>
      </x:c>
      <x:c r="B964" s="12" t="str">
        <x:v>Music - Senior Piano Lab: Continuing</x:v>
      </x:c>
      <x:c r="C964" s="12" t="str">
        <x:v>Multnomah Arts Ctr</x:v>
      </x:c>
      <x:c r="D964" s="12" t="str">
        <x:v>Music</x:v>
      </x:c>
      <x:c r="E964" s="7" t="str">
        <x:v>future</x:v>
      </x:c>
      <x:c r="F964" s="7" t="str">
        <x:v>2026-09-30</x:v>
      </x:c>
      <x:c r="G964" s="7" t="str">
        <x:v>2026-12-09</x:v>
      </x:c>
      <x:c r="H964" s="7" t="n">
        <x:v>6</x:v>
      </x:c>
      <x:c r="I964" s="7"/>
      <x:c r="J964" s="7" t="n">
        <x:v>8</x:v>
      </x:c>
      <x:c r="K964" s="7" t="str">
        <x:v>unverified-denominator</x:v>
      </x:c>
      <x:c r="L964" s="7" t="d">
        <x:v>2026-09-16T05:12:38.111Z</x:v>
      </x:c>
      <x:c r="M964" s="7" t="str">
        <x:v>https://apm.activecommunities.com/portlandparks/Activity_Search/music---senior-piano-lab-continuing/208552?locale=en-US</x:v>
      </x:c>
    </x:row>
    <x:row r="965" ht="38" customHeight="1">
      <x:c r="A965" s="8" t="str">
        <x:v>208553</x:v>
      </x:c>
      <x:c r="B965" s="11" t="str">
        <x:v>Music - Senior Piano Lab: Continuing</x:v>
      </x:c>
      <x:c r="C965" s="11" t="str">
        <x:v>Multnomah Arts Ctr</x:v>
      </x:c>
      <x:c r="D965" s="11" t="str">
        <x:v>Music</x:v>
      </x:c>
      <x:c r="E965" s="8" t="str">
        <x:v>future</x:v>
      </x:c>
      <x:c r="F965" s="8" t="str">
        <x:v>2026-10-01</x:v>
      </x:c>
      <x:c r="G965" s="8" t="str">
        <x:v>2026-12-10</x:v>
      </x:c>
      <x:c r="H965" s="8" t="n">
        <x:v>3</x:v>
      </x:c>
      <x:c r="I965" s="8"/>
      <x:c r="J965" s="8" t="n">
        <x:v>8</x:v>
      </x:c>
      <x:c r="K965" s="8" t="str">
        <x:v>unverified-denominator</x:v>
      </x:c>
      <x:c r="L965" s="8" t="d">
        <x:v>2026-09-16T05:12:38.111Z</x:v>
      </x:c>
      <x:c r="M965" s="8" t="str">
        <x:v>https://apm.activecommunities.com/portlandparks/Activity_Search/music---senior-piano-lab-continuing/208553?locale=en-US</x:v>
      </x:c>
    </x:row>
    <x:row r="966" ht="38" customHeight="1">
      <x:c r="A966" s="7" t="str">
        <x:v>208527</x:v>
      </x:c>
      <x:c r="B966" s="12" t="str">
        <x:v>Music - String Orchestra Level I</x:v>
      </x:c>
      <x:c r="C966" s="12" t="str">
        <x:v>Cmty Music Ctr</x:v>
      </x:c>
      <x:c r="D966" s="12" t="str">
        <x:v>Music</x:v>
      </x:c>
      <x:c r="E966" s="7" t="str">
        <x:v>future</x:v>
      </x:c>
      <x:c r="F966" s="7" t="str">
        <x:v>2026-10-02</x:v>
      </x:c>
      <x:c r="G966" s="7" t="str">
        <x:v>2027-06-04</x:v>
      </x:c>
      <x:c r="H966" s="7" t="n">
        <x:v>3</x:v>
      </x:c>
      <x:c r="I966" s="7"/>
      <x:c r="J966" s="7" t="n">
        <x:v>35</x:v>
      </x:c>
      <x:c r="K966" s="7" t="str">
        <x:v>unverified-denominator</x:v>
      </x:c>
      <x:c r="L966" s="7" t="d">
        <x:v>2026-09-16T05:12:38.111Z</x:v>
      </x:c>
      <x:c r="M966" s="7" t="str">
        <x:v>https://apm.activecommunities.com/portlandparks/Activity_Search/music---string-orchestra-level-i/208527?locale=en-US</x:v>
      </x:c>
    </x:row>
    <x:row r="967" ht="38" customHeight="1">
      <x:c r="A967" s="8" t="str">
        <x:v>208528</x:v>
      </x:c>
      <x:c r="B967" s="11" t="str">
        <x:v>Music - String Orchestra Level II</x:v>
      </x:c>
      <x:c r="C967" s="11" t="str">
        <x:v>Cmty Music Ctr</x:v>
      </x:c>
      <x:c r="D967" s="11" t="str">
        <x:v>Music</x:v>
      </x:c>
      <x:c r="E967" s="8" t="str">
        <x:v>future</x:v>
      </x:c>
      <x:c r="F967" s="8" t="str">
        <x:v>2026-10-02</x:v>
      </x:c>
      <x:c r="G967" s="8" t="str">
        <x:v>2027-06-04</x:v>
      </x:c>
      <x:c r="H967" s="8" t="n">
        <x:v>3</x:v>
      </x:c>
      <x:c r="I967" s="8"/>
      <x:c r="J967" s="8" t="n">
        <x:v>35</x:v>
      </x:c>
      <x:c r="K967" s="8" t="str">
        <x:v>unverified-denominator</x:v>
      </x:c>
      <x:c r="L967" s="8" t="d">
        <x:v>2026-09-16T05:12:38.111Z</x:v>
      </x:c>
      <x:c r="M967" s="8" t="str">
        <x:v>https://apm.activecommunities.com/portlandparks/Activity_Search/music---string-orchestra-level-ii/208528?locale=en-US</x:v>
      </x:c>
    </x:row>
    <x:row r="968" ht="38" customHeight="1">
      <x:c r="A968" s="7" t="str">
        <x:v>208529</x:v>
      </x:c>
      <x:c r="B968" s="12" t="str">
        <x:v>Music - String Orchestra: Level III Chamber Ensemble</x:v>
      </x:c>
      <x:c r="C968" s="12" t="str">
        <x:v>Cmty Music Ctr</x:v>
      </x:c>
      <x:c r="D968" s="12" t="str">
        <x:v>Music</x:v>
      </x:c>
      <x:c r="E968" s="7" t="str">
        <x:v>future</x:v>
      </x:c>
      <x:c r="F968" s="7" t="str">
        <x:v>2026-10-02</x:v>
      </x:c>
      <x:c r="G968" s="7" t="str">
        <x:v>2027-06-04</x:v>
      </x:c>
      <x:c r="H968" s="7" t="n">
        <x:v>6</x:v>
      </x:c>
      <x:c r="I968" s="7"/>
      <x:c r="J968" s="7" t="n">
        <x:v>35</x:v>
      </x:c>
      <x:c r="K968" s="7" t="str">
        <x:v>unverified-denominator</x:v>
      </x:c>
      <x:c r="L968" s="7" t="d">
        <x:v>2026-09-16T05:12:38.111Z</x:v>
      </x:c>
      <x:c r="M968" s="7" t="str">
        <x:v>https://apm.activecommunities.com/portlandparks/Activity_Search/music---string-orchestra-level-iii-chamber-ensemble/208529?locale=en-US</x:v>
      </x:c>
    </x:row>
    <x:row r="969" ht="38" customHeight="1">
      <x:c r="A969" s="8" t="str">
        <x:v>208455</x:v>
      </x:c>
      <x:c r="B969" s="11" t="str">
        <x:v>Music - Suzuki Violin Playthrough - Belleri</x:v>
      </x:c>
      <x:c r="C969" s="11" t="str">
        <x:v>Cmty Music Ctr</x:v>
      </x:c>
      <x:c r="D969" s="11" t="str">
        <x:v>Music</x:v>
      </x:c>
      <x:c r="E969" s="8" t="str">
        <x:v>future</x:v>
      </x:c>
      <x:c r="F969" s="8" t="str">
        <x:v>2026-09-30</x:v>
      </x:c>
      <x:c r="G969" s="8" t="str">
        <x:v>2027-06-02</x:v>
      </x:c>
      <x:c r="H969" s="8" t="n">
        <x:v>3</x:v>
      </x:c>
      <x:c r="I969" s="8"/>
      <x:c r="J969" s="8" t="n">
        <x:v>20</x:v>
      </x:c>
      <x:c r="K969" s="8" t="str">
        <x:v>unverified-denominator</x:v>
      </x:c>
      <x:c r="L969" s="8" t="d">
        <x:v>2026-09-16T05:12:38.111Z</x:v>
      </x:c>
      <x:c r="M969" s="8" t="str">
        <x:v>https://apm.activecommunities.com/portlandparks/Activity_Search/music---suzuki-violin-playthrough---belleri/208455?locale=en-US</x:v>
      </x:c>
    </x:row>
    <x:row r="970" ht="38" customHeight="1">
      <x:c r="A970" s="7" t="str">
        <x:v>208509</x:v>
      </x:c>
      <x:c r="B970" s="12" t="str">
        <x:v>Music - Suzuki Violin Playthrough - C.Scott</x:v>
      </x:c>
      <x:c r="C970" s="12" t="str">
        <x:v>Cmty Music Ctr</x:v>
      </x:c>
      <x:c r="D970" s="12" t="str">
        <x:v>Music</x:v>
      </x:c>
      <x:c r="E970" s="7" t="str">
        <x:v>future</x:v>
      </x:c>
      <x:c r="F970" s="7" t="str">
        <x:v>2026-10-01</x:v>
      </x:c>
      <x:c r="G970" s="7" t="str">
        <x:v>2027-06-03</x:v>
      </x:c>
      <x:c r="H970" s="7" t="n">
        <x:v>7</x:v>
      </x:c>
      <x:c r="I970" s="7"/>
      <x:c r="J970" s="7" t="n">
        <x:v>20</x:v>
      </x:c>
      <x:c r="K970" s="7" t="str">
        <x:v>unverified-denominator</x:v>
      </x:c>
      <x:c r="L970" s="7" t="d">
        <x:v>2026-09-16T05:12:38.111Z</x:v>
      </x:c>
      <x:c r="M970" s="7" t="str">
        <x:v>https://apm.activecommunities.com/portlandparks/Activity_Search/music---suzuki-violin-playthrough---c-scott/208509?locale=en-US</x:v>
      </x:c>
    </x:row>
    <x:row r="971" ht="38" customHeight="1">
      <x:c r="A971" s="8" t="str">
        <x:v>208808</x:v>
      </x:c>
      <x:c r="B971" s="11" t="str">
        <x:v>Music - Teen Fiddling</x:v>
      </x:c>
      <x:c r="C971" s="11" t="str">
        <x:v>Cmty Music Ctr</x:v>
      </x:c>
      <x:c r="D971" s="11" t="str">
        <x:v>Music</x:v>
      </x:c>
      <x:c r="E971" s="8" t="str">
        <x:v>future</x:v>
      </x:c>
      <x:c r="F971" s="8" t="str">
        <x:v>2026-09-29</x:v>
      </x:c>
      <x:c r="G971" s="8" t="str">
        <x:v>2026-12-15</x:v>
      </x:c>
      <x:c r="H971" s="8" t="n">
        <x:v>0</x:v>
      </x:c>
      <x:c r="I971" s="8"/>
      <x:c r="J971" s="8" t="n">
        <x:v>6</x:v>
      </x:c>
      <x:c r="K971" s="8" t="str">
        <x:v>unverified-denominator</x:v>
      </x:c>
      <x:c r="L971" s="8" t="d">
        <x:v>2026-09-16T05:12:38.111Z</x:v>
      </x:c>
      <x:c r="M971" s="8" t="str">
        <x:v>https://apm.activecommunities.com/portlandparks/Activity_Search/music---teen-fiddling/208808?locale=en-US</x:v>
      </x:c>
    </x:row>
    <x:row r="972" ht="38" customHeight="1">
      <x:c r="A972" s="7" t="str">
        <x:v>208510</x:v>
      </x:c>
      <x:c r="B972" s="12" t="str">
        <x:v>Music - Theory &amp; Games</x:v>
      </x:c>
      <x:c r="C972" s="12" t="str">
        <x:v>Cmty Music Ctr</x:v>
      </x:c>
      <x:c r="D972" s="12" t="str">
        <x:v>Music</x:v>
      </x:c>
      <x:c r="E972" s="7" t="str">
        <x:v>future</x:v>
      </x:c>
      <x:c r="F972" s="7" t="str">
        <x:v>2026-10-01</x:v>
      </x:c>
      <x:c r="G972" s="7" t="str">
        <x:v>2027-06-03</x:v>
      </x:c>
      <x:c r="H972" s="7" t="n">
        <x:v>2</x:v>
      </x:c>
      <x:c r="I972" s="7"/>
      <x:c r="J972" s="7" t="n">
        <x:v>8</x:v>
      </x:c>
      <x:c r="K972" s="7" t="str">
        <x:v>unverified-denominator</x:v>
      </x:c>
      <x:c r="L972" s="7" t="d">
        <x:v>2026-09-16T05:12:38.111Z</x:v>
      </x:c>
      <x:c r="M972" s="7" t="str">
        <x:v>https://apm.activecommunities.com/portlandparks/Activity_Search/music---theory-games/208510?locale=en-US</x:v>
      </x:c>
    </x:row>
    <x:row r="973" ht="38" customHeight="1">
      <x:c r="A973" s="8" t="str">
        <x:v>208517</x:v>
      </x:c>
      <x:c r="B973" s="11" t="str">
        <x:v>Music - Theory &amp; Games</x:v>
      </x:c>
      <x:c r="C973" s="11" t="str">
        <x:v>Cmty Music Ctr</x:v>
      </x:c>
      <x:c r="D973" s="11" t="str">
        <x:v>Music</x:v>
      </x:c>
      <x:c r="E973" s="8" t="str">
        <x:v>future</x:v>
      </x:c>
      <x:c r="F973" s="8" t="str">
        <x:v>2026-10-01</x:v>
      </x:c>
      <x:c r="G973" s="8" t="str">
        <x:v>2027-06-03</x:v>
      </x:c>
      <x:c r="H973" s="8" t="n">
        <x:v>1</x:v>
      </x:c>
      <x:c r="I973" s="8"/>
      <x:c r="J973" s="8" t="n">
        <x:v>8</x:v>
      </x:c>
      <x:c r="K973" s="8" t="str">
        <x:v>unverified-denominator</x:v>
      </x:c>
      <x:c r="L973" s="8" t="d">
        <x:v>2026-09-16T05:12:38.111Z</x:v>
      </x:c>
      <x:c r="M973" s="8" t="str">
        <x:v>https://apm.activecommunities.com/portlandparks/Activity_Search/music---theory-games/208517?locale=en-US</x:v>
      </x:c>
    </x:row>
    <x:row r="974" ht="38" customHeight="1">
      <x:c r="A974" s="7" t="str">
        <x:v>208516</x:v>
      </x:c>
      <x:c r="B974" s="12" t="str">
        <x:v>Music - Theory &amp; Skills</x:v>
      </x:c>
      <x:c r="C974" s="12" t="str">
        <x:v>Cmty Music Ctr</x:v>
      </x:c>
      <x:c r="D974" s="12" t="str">
        <x:v>Music</x:v>
      </x:c>
      <x:c r="E974" s="7" t="str">
        <x:v>future</x:v>
      </x:c>
      <x:c r="F974" s="7" t="str">
        <x:v>2026-10-01</x:v>
      </x:c>
      <x:c r="G974" s="7" t="str">
        <x:v>2027-06-03</x:v>
      </x:c>
      <x:c r="H974" s="7" t="n">
        <x:v>0</x:v>
      </x:c>
      <x:c r="I974" s="7"/>
      <x:c r="J974" s="7" t="n">
        <x:v>8</x:v>
      </x:c>
      <x:c r="K974" s="7" t="str">
        <x:v>unverified-denominator</x:v>
      </x:c>
      <x:c r="L974" s="7" t="d">
        <x:v>2026-09-16T05:12:38.111Z</x:v>
      </x:c>
      <x:c r="M974" s="7" t="str">
        <x:v>https://apm.activecommunities.com/portlandparks/Activity_Search/music---theory-skills/208516?locale=en-US</x:v>
      </x:c>
    </x:row>
    <x:row r="975" ht="38" customHeight="1">
      <x:c r="A975" s="8" t="str">
        <x:v>207884</x:v>
      </x:c>
      <x:c r="B975" s="11" t="str">
        <x:v>Music - Violin Adult Group Lessons: Beginning</x:v>
      </x:c>
      <x:c r="C975" s="11" t="str">
        <x:v>Cmty Music Ctr</x:v>
      </x:c>
      <x:c r="D975" s="11" t="str">
        <x:v>Music</x:v>
      </x:c>
      <x:c r="E975" s="8" t="str">
        <x:v>future</x:v>
      </x:c>
      <x:c r="F975" s="8" t="str">
        <x:v>2026-09-30</x:v>
      </x:c>
      <x:c r="G975" s="8" t="str">
        <x:v>2026-12-09</x:v>
      </x:c>
      <x:c r="H975" s="8" t="n">
        <x:v>0</x:v>
      </x:c>
      <x:c r="I975" s="8" t="n">
        <x:v>3</x:v>
      </x:c>
      <x:c r="J975" s="8" t="n">
        <x:v>8</x:v>
      </x:c>
      <x:c r="K975" s="8" t="str">
        <x:v>unverified-denominator</x:v>
      </x:c>
      <x:c r="L975" s="8" t="d">
        <x:v>2026-09-16T05:12:38.111Z</x:v>
      </x:c>
      <x:c r="M975" s="8" t="str">
        <x:v>https://apm.activecommunities.com/portlandparks/Activity_Search/music---violin-adult-group-lessons-beginning/207884?locale=en-US</x:v>
      </x:c>
    </x:row>
    <x:row r="976" ht="38" customHeight="1">
      <x:c r="A976" s="7" t="str">
        <x:v>207877</x:v>
      </x:c>
      <x:c r="B976" s="12" t="str">
        <x:v>Music - Violin Adult Group Lessons: Continuing Level 3</x:v>
      </x:c>
      <x:c r="C976" s="12" t="str">
        <x:v>Cmty Music Ctr</x:v>
      </x:c>
      <x:c r="D976" s="12" t="str">
        <x:v>Music</x:v>
      </x:c>
      <x:c r="E976" s="7" t="str">
        <x:v>future</x:v>
      </x:c>
      <x:c r="F976" s="7" t="str">
        <x:v>2026-09-29</x:v>
      </x:c>
      <x:c r="G976" s="7" t="str">
        <x:v>2026-12-01</x:v>
      </x:c>
      <x:c r="H976" s="7" t="n">
        <x:v>5</x:v>
      </x:c>
      <x:c r="I976" s="7"/>
      <x:c r="J976" s="7" t="n">
        <x:v>8</x:v>
      </x:c>
      <x:c r="K976" s="7" t="str">
        <x:v>unverified-denominator</x:v>
      </x:c>
      <x:c r="L976" s="7" t="d">
        <x:v>2026-09-16T05:12:38.111Z</x:v>
      </x:c>
      <x:c r="M976" s="7" t="str">
        <x:v>https://apm.activecommunities.com/portlandparks/Activity_Search/music---violin-adult-group-lessons-continuing-level-3/207877?locale=en-US</x:v>
      </x:c>
    </x:row>
    <x:row r="977" ht="38" customHeight="1">
      <x:c r="A977" s="8" t="str">
        <x:v>208454</x:v>
      </x:c>
      <x:c r="B977" s="11" t="str">
        <x:v>Music - Violin Group Lessons: Beginning</x:v>
      </x:c>
      <x:c r="C977" s="11" t="str">
        <x:v>Cmty Music Ctr</x:v>
      </x:c>
      <x:c r="D977" s="11" t="str">
        <x:v>Music</x:v>
      </x:c>
      <x:c r="E977" s="8" t="str">
        <x:v>future</x:v>
      </x:c>
      <x:c r="F977" s="8" t="str">
        <x:v>2026-09-30</x:v>
      </x:c>
      <x:c r="G977" s="8" t="str">
        <x:v>2027-06-02</x:v>
      </x:c>
      <x:c r="H977" s="8" t="n">
        <x:v>8</x:v>
      </x:c>
      <x:c r="I977" s="8" t="n">
        <x:v>1</x:v>
      </x:c>
      <x:c r="J977" s="8" t="n">
        <x:v>7</x:v>
      </x:c>
      <x:c r="K977" s="8" t="str">
        <x:v>unverified-denominator</x:v>
      </x:c>
      <x:c r="L977" s="8" t="d">
        <x:v>2026-09-16T05:12:38.111Z</x:v>
      </x:c>
      <x:c r="M977" s="8" t="str">
        <x:v>https://apm.activecommunities.com/portlandparks/Activity_Search/music---violin-group-lessons-beginning/208454?locale=en-US</x:v>
      </x:c>
    </x:row>
    <x:row r="978" ht="38" customHeight="1">
      <x:c r="A978" s="7" t="str">
        <x:v>209004</x:v>
      </x:c>
      <x:c r="B978" s="12" t="str">
        <x:v>Music - Vocal Workshop</x:v>
      </x:c>
      <x:c r="C978" s="12" t="str">
        <x:v>Multnomah Arts Ctr</x:v>
      </x:c>
      <x:c r="D978" s="12" t="str">
        <x:v>Music</x:v>
      </x:c>
      <x:c r="E978" s="7" t="str">
        <x:v>undated</x:v>
      </x:c>
      <x:c r="F978" s="7" t="str">
        <x:v>2026-10-01</x:v>
      </x:c>
      <x:c r="G978" s="7" t="str"/>
      <x:c r="H978" s="7" t="n">
        <x:v>6</x:v>
      </x:c>
      <x:c r="I978" s="7"/>
      <x:c r="J978" s="7" t="n">
        <x:v>10</x:v>
      </x:c>
      <x:c r="K978" s="7" t="str">
        <x:v>unverified-denominator</x:v>
      </x:c>
      <x:c r="L978" s="7" t="d">
        <x:v>2026-09-16T05:12:38.111Z</x:v>
      </x:c>
      <x:c r="M978" s="7" t="str">
        <x:v>https://apm.activecommunities.com/portlandparks/Activity_Search/music---vocal-workshop/209004?locale=en-US</x:v>
      </x:c>
    </x:row>
    <x:row r="979" ht="38" customHeight="1">
      <x:c r="A979" s="8" t="str">
        <x:v>209008</x:v>
      </x:c>
      <x:c r="B979" s="11" t="str">
        <x:v>Music - Vocal Workshop for Adults</x:v>
      </x:c>
      <x:c r="C979" s="11" t="str">
        <x:v>Multnomah Arts Ctr</x:v>
      </x:c>
      <x:c r="D979" s="11" t="str">
        <x:v>Music</x:v>
      </x:c>
      <x:c r="E979" s="8" t="str">
        <x:v>undated</x:v>
      </x:c>
      <x:c r="F979" s="8" t="str">
        <x:v>2026-11-19</x:v>
      </x:c>
      <x:c r="G979" s="8" t="str"/>
      <x:c r="H979" s="8" t="n">
        <x:v>0</x:v>
      </x:c>
      <x:c r="I979" s="8"/>
      <x:c r="J979" s="8" t="n">
        <x:v>10</x:v>
      </x:c>
      <x:c r="K979" s="8" t="str">
        <x:v>unverified-denominator</x:v>
      </x:c>
      <x:c r="L979" s="8" t="d">
        <x:v>2026-09-16T05:12:38.111Z</x:v>
      </x:c>
      <x:c r="M979" s="8" t="str">
        <x:v>https://apm.activecommunities.com/portlandparks/Activity_Search/music---vocal-workshop-for-adults/209008?locale=en-US</x:v>
      </x:c>
    </x:row>
    <x:row r="980" ht="38" customHeight="1">
      <x:c r="A980" s="7" t="str">
        <x:v>207874</x:v>
      </x:c>
      <x:c r="B980" s="12" t="str">
        <x:v>Music - Youth Choir</x:v>
      </x:c>
      <x:c r="C980" s="12" t="str">
        <x:v>Cmty Music Ctr</x:v>
      </x:c>
      <x:c r="D980" s="12" t="str">
        <x:v>Music</x:v>
      </x:c>
      <x:c r="E980" s="7" t="str">
        <x:v>future</x:v>
      </x:c>
      <x:c r="F980" s="7" t="str">
        <x:v>2026-09-29</x:v>
      </x:c>
      <x:c r="G980" s="7" t="str">
        <x:v>2026-12-01</x:v>
      </x:c>
      <x:c r="H980" s="7" t="n">
        <x:v>10</x:v>
      </x:c>
      <x:c r="I980" s="7"/>
      <x:c r="J980" s="7" t="n">
        <x:v>30</x:v>
      </x:c>
      <x:c r="K980" s="7" t="str">
        <x:v>unverified-denominator</x:v>
      </x:c>
      <x:c r="L980" s="7" t="d">
        <x:v>2026-09-16T05:12:38.111Z</x:v>
      </x:c>
      <x:c r="M980" s="7" t="str">
        <x:v>https://apm.activecommunities.com/portlandparks/Activity_Search/music---youth-choir/207874?locale=en-US</x:v>
      </x:c>
    </x:row>
    <x:row r="981" ht="38" customHeight="1">
      <x:c r="A981" s="8" t="str">
        <x:v>208545</x:v>
      </x:c>
      <x:c r="B981" s="11" t="str">
        <x:v>Music - Youth Piano I</x:v>
      </x:c>
      <x:c r="C981" s="11" t="str">
        <x:v>Multnomah Arts Ctr</x:v>
      </x:c>
      <x:c r="D981" s="11" t="str">
        <x:v>Music</x:v>
      </x:c>
      <x:c r="E981" s="8" t="str">
        <x:v>future</x:v>
      </x:c>
      <x:c r="F981" s="8" t="str">
        <x:v>2026-09-28</x:v>
      </x:c>
      <x:c r="G981" s="8" t="str">
        <x:v>2026-12-07</x:v>
      </x:c>
      <x:c r="H981" s="8" t="n">
        <x:v>9</x:v>
      </x:c>
      <x:c r="I981" s="8" t="n">
        <x:v>15</x:v>
      </x:c>
      <x:c r="J981" s="8" t="n">
        <x:v>9</x:v>
      </x:c>
      <x:c r="K981" s="8" t="str">
        <x:v>unverified-denominator</x:v>
      </x:c>
      <x:c r="L981" s="8" t="d">
        <x:v>2026-09-16T05:12:38.111Z</x:v>
      </x:c>
      <x:c r="M981" s="8" t="str">
        <x:v>https://apm.activecommunities.com/portlandparks/Activity_Search/music---youth-piano-i/208545?locale=en-US</x:v>
      </x:c>
    </x:row>
    <x:row r="982" ht="38" customHeight="1">
      <x:c r="A982" s="7" t="str">
        <x:v>207865</x:v>
      </x:c>
      <x:c r="B982" s="12" t="str">
        <x:v>Music - Youth Piano Lab Beginners/Continuing</x:v>
      </x:c>
      <x:c r="C982" s="12" t="str">
        <x:v>Rosewood Initiative</x:v>
      </x:c>
      <x:c r="D982" s="12" t="str">
        <x:v>Music</x:v>
      </x:c>
      <x:c r="E982" s="7" t="str">
        <x:v>future</x:v>
      </x:c>
      <x:c r="F982" s="7" t="str">
        <x:v>2026-09-30</x:v>
      </x:c>
      <x:c r="G982" s="7" t="str">
        <x:v>2026-12-09</x:v>
      </x:c>
      <x:c r="H982" s="7" t="n">
        <x:v>7</x:v>
      </x:c>
      <x:c r="I982" s="7" t="n">
        <x:v>2</x:v>
      </x:c>
      <x:c r="J982" s="7" t="n">
        <x:v>8</x:v>
      </x:c>
      <x:c r="K982" s="7" t="str">
        <x:v>unverified-denominator</x:v>
      </x:c>
      <x:c r="L982" s="7" t="d">
        <x:v>2026-09-16T05:12:38.111Z</x:v>
      </x:c>
      <x:c r="M982" s="7" t="str">
        <x:v>https://apm.activecommunities.com/portlandparks/Activity_Search/music---youth-piano-lab-beginners-continuing/207865?locale=en-US</x:v>
      </x:c>
    </x:row>
    <x:row r="983" ht="38" customHeight="1">
      <x:c r="A983" s="8" t="str">
        <x:v>207875</x:v>
      </x:c>
      <x:c r="B983" s="11" t="str">
        <x:v>Music - Youth Vocal Ensemble</x:v>
      </x:c>
      <x:c r="C983" s="11" t="str">
        <x:v>Cmty Music Ctr</x:v>
      </x:c>
      <x:c r="D983" s="11" t="str">
        <x:v>Music</x:v>
      </x:c>
      <x:c r="E983" s="8" t="str">
        <x:v>future</x:v>
      </x:c>
      <x:c r="F983" s="8" t="str">
        <x:v>2026-09-29</x:v>
      </x:c>
      <x:c r="G983" s="8" t="str">
        <x:v>2026-12-01</x:v>
      </x:c>
      <x:c r="H983" s="8" t="n">
        <x:v>5</x:v>
      </x:c>
      <x:c r="I983" s="8"/>
      <x:c r="J983" s="8" t="n">
        <x:v>12</x:v>
      </x:c>
      <x:c r="K983" s="8" t="str">
        <x:v>unverified-denominator</x:v>
      </x:c>
      <x:c r="L983" s="8" t="d">
        <x:v>2026-09-16T05:12:38.111Z</x:v>
      </x:c>
      <x:c r="M983" s="8" t="str">
        <x:v>https://apm.activecommunities.com/portlandparks/Activity_Search/music---youth-vocal-ensemble/207875?locale=en-US</x:v>
      </x:c>
    </x:row>
    <x:row r="984" ht="38" customHeight="1">
      <x:c r="A984" s="7" t="str">
        <x:v>208700</x:v>
      </x:c>
      <x:c r="B984" s="12" t="str">
        <x:v>Painting - Acrylics: All Levels</x:v>
      </x:c>
      <x:c r="C984" s="12" t="str">
        <x:v>East Portland Cmty Ctr</x:v>
      </x:c>
      <x:c r="D984" s="12" t="str">
        <x:v>Arts &amp; Crafts - Painting</x:v>
      </x:c>
      <x:c r="E984" s="7" t="str">
        <x:v>future</x:v>
      </x:c>
      <x:c r="F984" s="7" t="str">
        <x:v>2026-09-30</x:v>
      </x:c>
      <x:c r="G984" s="7" t="str">
        <x:v>2026-12-09</x:v>
      </x:c>
      <x:c r="H984" s="7" t="n">
        <x:v>11</x:v>
      </x:c>
      <x:c r="I984" s="7"/>
      <x:c r="J984" s="7" t="n">
        <x:v>15</x:v>
      </x:c>
      <x:c r="K984" s="7" t="str">
        <x:v>unverified-denominator</x:v>
      </x:c>
      <x:c r="L984" s="7" t="d">
        <x:v>2026-09-16T05:12:38.111Z</x:v>
      </x:c>
      <x:c r="M984" s="7" t="str">
        <x:v>https://apm.activecommunities.com/portlandparks/Activity_Search/painting---acrylics-all-levels/208700?locale=en-US</x:v>
      </x:c>
    </x:row>
    <x:row r="985" ht="38" customHeight="1">
      <x:c r="A985" s="8" t="str">
        <x:v>207531</x:v>
      </x:c>
      <x:c r="B985" s="11" t="str">
        <x:v>Painting - Oils &amp; Acrylics: Beginning to Intermediate</x:v>
      </x:c>
      <x:c r="C985" s="11" t="str">
        <x:v>Multnomah Arts Ctr</x:v>
      </x:c>
      <x:c r="D985" s="11" t="str">
        <x:v>Arts &amp; Crafts - Painting</x:v>
      </x:c>
      <x:c r="E985" s="8" t="str">
        <x:v>future</x:v>
      </x:c>
      <x:c r="F985" s="8" t="str">
        <x:v>2026-10-03</x:v>
      </x:c>
      <x:c r="G985" s="8" t="str">
        <x:v>2026-12-12</x:v>
      </x:c>
      <x:c r="H985" s="8" t="n">
        <x:v>10</x:v>
      </x:c>
      <x:c r="I985" s="8" t="n">
        <x:v>16</x:v>
      </x:c>
      <x:c r="J985" s="8" t="n">
        <x:v>10</x:v>
      </x:c>
      <x:c r="K985" s="8" t="str">
        <x:v>unverified-denominator</x:v>
      </x:c>
      <x:c r="L985" s="8" t="d">
        <x:v>2026-09-16T05:12:38.111Z</x:v>
      </x:c>
      <x:c r="M985" s="8" t="str">
        <x:v>https://apm.activecommunities.com/portlandparks/Activity_Search/painting---oils-acrylics-beginning-to-intermediate/207531?locale=en-US</x:v>
      </x:c>
    </x:row>
    <x:row r="986" ht="38" customHeight="1">
      <x:c r="A986" s="7" t="str">
        <x:v>208192</x:v>
      </x:c>
      <x:c r="B986" s="12" t="str">
        <x:v>Painting - Pet Portraits</x:v>
      </x:c>
      <x:c r="C986" s="12" t="str">
        <x:v>Multnomah Arts Ctr</x:v>
      </x:c>
      <x:c r="D986" s="12" t="str">
        <x:v>Arts &amp; Crafts - Painting</x:v>
      </x:c>
      <x:c r="E986" s="7" t="str">
        <x:v>future</x:v>
      </x:c>
      <x:c r="F986" s="7" t="str">
        <x:v>2026-11-14</x:v>
      </x:c>
      <x:c r="G986" s="7" t="str">
        <x:v>2026-11-21</x:v>
      </x:c>
      <x:c r="H986" s="7" t="n">
        <x:v>0</x:v>
      </x:c>
      <x:c r="I986" s="7"/>
      <x:c r="J986" s="7" t="n">
        <x:v>10</x:v>
      </x:c>
      <x:c r="K986" s="7" t="str">
        <x:v>unverified-denominator</x:v>
      </x:c>
      <x:c r="L986" s="7" t="d">
        <x:v>2026-09-16T05:12:38.111Z</x:v>
      </x:c>
      <x:c r="M986" s="7" t="str">
        <x:v>https://apm.activecommunities.com/portlandparks/Activity_Search/painting---pet-portraits/208192?locale=en-US</x:v>
      </x:c>
    </x:row>
    <x:row r="987" ht="38" customHeight="1">
      <x:c r="A987" s="8" t="str">
        <x:v>207532</x:v>
      </x:c>
      <x:c r="B987" s="11" t="str">
        <x:v>Painting - Portraits:Oil &amp; Acrylic-Beginning to Intermediate</x:v>
      </x:c>
      <x:c r="C987" s="11" t="str">
        <x:v>Multnomah Arts Ctr</x:v>
      </x:c>
      <x:c r="D987" s="11" t="str">
        <x:v>Arts &amp; Crafts - Painting</x:v>
      </x:c>
      <x:c r="E987" s="8" t="str">
        <x:v>future</x:v>
      </x:c>
      <x:c r="F987" s="8" t="str">
        <x:v>2026-10-03</x:v>
      </x:c>
      <x:c r="G987" s="8" t="str">
        <x:v>2026-12-12</x:v>
      </x:c>
      <x:c r="H987" s="8" t="n">
        <x:v>10</x:v>
      </x:c>
      <x:c r="I987" s="8" t="n">
        <x:v>7</x:v>
      </x:c>
      <x:c r="J987" s="8" t="n">
        <x:v>10</x:v>
      </x:c>
      <x:c r="K987" s="8" t="str">
        <x:v>unverified-denominator</x:v>
      </x:c>
      <x:c r="L987" s="8" t="d">
        <x:v>2026-09-16T05:12:38.111Z</x:v>
      </x:c>
      <x:c r="M987" s="8" t="str">
        <x:v>https://apm.activecommunities.com/portlandparks/Activity_Search/painting---portraits-oil-acrylic-beginning-to-intermediate/207532?locale=en-US</x:v>
      </x:c>
    </x:row>
    <x:row r="988" ht="38" customHeight="1">
      <x:c r="A988" s="7" t="str">
        <x:v>207533</x:v>
      </x:c>
      <x:c r="B988" s="12" t="str">
        <x:v>Painting - Studio: Oils or Acrylics</x:v>
      </x:c>
      <x:c r="C988" s="12" t="str">
        <x:v>Multnomah Arts Ctr</x:v>
      </x:c>
      <x:c r="D988" s="12" t="str">
        <x:v>Arts &amp; Crafts - Painting</x:v>
      </x:c>
      <x:c r="E988" s="7" t="str">
        <x:v>future</x:v>
      </x:c>
      <x:c r="F988" s="7" t="str">
        <x:v>2026-11-04</x:v>
      </x:c>
      <x:c r="G988" s="7" t="str">
        <x:v>2026-12-16</x:v>
      </x:c>
      <x:c r="H988" s="7" t="n">
        <x:v>0</x:v>
      </x:c>
      <x:c r="I988" s="7"/>
      <x:c r="J988" s="7" t="n">
        <x:v>10</x:v>
      </x:c>
      <x:c r="K988" s="7" t="str">
        <x:v>unverified-denominator</x:v>
      </x:c>
      <x:c r="L988" s="7" t="d">
        <x:v>2026-09-16T05:12:38.111Z</x:v>
      </x:c>
      <x:c r="M988" s="7" t="str">
        <x:v>https://apm.activecommunities.com/portlandparks/Activity_Search/painting---studio-oils-or-acrylics/207533?locale=en-US</x:v>
      </x:c>
    </x:row>
    <x:row r="989" ht="38" customHeight="1">
      <x:c r="A989" s="8" t="str">
        <x:v>208429</x:v>
      </x:c>
      <x:c r="B989" s="11" t="str">
        <x:v>Painting - Studio: Oils or Acrylics</x:v>
      </x:c>
      <x:c r="C989" s="11" t="str">
        <x:v>Multnomah Arts Ctr</x:v>
      </x:c>
      <x:c r="D989" s="11" t="str">
        <x:v>Arts &amp; Crafts - Painting</x:v>
      </x:c>
      <x:c r="E989" s="8" t="str">
        <x:v>future</x:v>
      </x:c>
      <x:c r="F989" s="8" t="str">
        <x:v>2026-09-29</x:v>
      </x:c>
      <x:c r="G989" s="8" t="str">
        <x:v>2026-12-01</x:v>
      </x:c>
      <x:c r="H989" s="8" t="n">
        <x:v>9</x:v>
      </x:c>
      <x:c r="I989" s="8"/>
      <x:c r="J989" s="8" t="n">
        <x:v>10</x:v>
      </x:c>
      <x:c r="K989" s="8" t="str">
        <x:v>unverified-denominator</x:v>
      </x:c>
      <x:c r="L989" s="8" t="d">
        <x:v>2026-09-16T05:12:38.111Z</x:v>
      </x:c>
      <x:c r="M989" s="8" t="str">
        <x:v>https://apm.activecommunities.com/portlandparks/Activity_Search/painting---studio-oils-or-acrylics/208429?locale=en-US</x:v>
      </x:c>
    </x:row>
    <x:row r="990" ht="38" customHeight="1">
      <x:c r="A990" s="7" t="str">
        <x:v>208629</x:v>
      </x:c>
      <x:c r="B990" s="12" t="str">
        <x:v>Painting - Sweater Weather Paint &amp; Sip Workshop</x:v>
      </x:c>
      <x:c r="C990" s="12" t="str">
        <x:v>Rosewood Initiative</x:v>
      </x:c>
      <x:c r="D990" s="12" t="str">
        <x:v>Arts &amp; Crafts - Painting</x:v>
      </x:c>
      <x:c r="E990" s="7" t="str">
        <x:v>undated</x:v>
      </x:c>
      <x:c r="F990" s="7" t="str">
        <x:v>2026-11-03</x:v>
      </x:c>
      <x:c r="G990" s="7" t="str"/>
      <x:c r="H990" s="7" t="n">
        <x:v>0</x:v>
      </x:c>
      <x:c r="I990" s="7"/>
      <x:c r="J990" s="7" t="n">
        <x:v>10</x:v>
      </x:c>
      <x:c r="K990" s="7" t="str">
        <x:v>unverified-denominator</x:v>
      </x:c>
      <x:c r="L990" s="7" t="d">
        <x:v>2026-09-16T05:12:38.111Z</x:v>
      </x:c>
      <x:c r="M990" s="7" t="str">
        <x:v>https://apm.activecommunities.com/portlandparks/Activity_Search/painting---sweater-weather-paint-sip-workshop/208629?locale=en-US</x:v>
      </x:c>
    </x:row>
    <x:row r="991" ht="38" customHeight="1">
      <x:c r="A991" s="8" t="str">
        <x:v>207158</x:v>
      </x:c>
      <x:c r="B991" s="11" t="str">
        <x:v>Painting - Watercolor &amp; Mixed Media</x:v>
      </x:c>
      <x:c r="C991" s="11" t="str">
        <x:v>Multnomah Arts Ctr</x:v>
      </x:c>
      <x:c r="D991" s="11" t="str">
        <x:v>Arts &amp; Crafts - Painting</x:v>
      </x:c>
      <x:c r="E991" s="8" t="str">
        <x:v>future</x:v>
      </x:c>
      <x:c r="F991" s="8" t="str">
        <x:v>2026-10-07</x:v>
      </x:c>
      <x:c r="G991" s="8" t="str">
        <x:v>2026-12-16</x:v>
      </x:c>
      <x:c r="H991" s="8" t="n">
        <x:v>8</x:v>
      </x:c>
      <x:c r="I991" s="8"/>
      <x:c r="J991" s="8" t="n">
        <x:v>12</x:v>
      </x:c>
      <x:c r="K991" s="8" t="str">
        <x:v>unverified-denominator</x:v>
      </x:c>
      <x:c r="L991" s="8" t="d">
        <x:v>2026-09-16T05:12:38.111Z</x:v>
      </x:c>
      <x:c r="M991" s="8" t="str">
        <x:v>https://apm.activecommunities.com/portlandparks/Activity_Search/painting---watercolor-mixed-media/207158?locale=en-US</x:v>
      </x:c>
    </x:row>
    <x:row r="992" ht="38" customHeight="1">
      <x:c r="A992" s="7" t="str">
        <x:v>208701</x:v>
      </x:c>
      <x:c r="B992" s="12" t="str">
        <x:v>Painting - Watercolor: All Levels</x:v>
      </x:c>
      <x:c r="C992" s="12" t="str">
        <x:v>East Portland Cmty Ctr</x:v>
      </x:c>
      <x:c r="D992" s="12" t="str">
        <x:v>Arts &amp; Crafts - Painting</x:v>
      </x:c>
      <x:c r="E992" s="7" t="str">
        <x:v>future</x:v>
      </x:c>
      <x:c r="F992" s="7" t="str">
        <x:v>2026-09-30</x:v>
      </x:c>
      <x:c r="G992" s="7" t="str">
        <x:v>2026-12-09</x:v>
      </x:c>
      <x:c r="H992" s="7" t="n">
        <x:v>15</x:v>
      </x:c>
      <x:c r="I992" s="7" t="n">
        <x:v>1</x:v>
      </x:c>
      <x:c r="J992" s="7" t="n">
        <x:v>15</x:v>
      </x:c>
      <x:c r="K992" s="7" t="str">
        <x:v>unverified-denominator</x:v>
      </x:c>
      <x:c r="L992" s="7" t="d">
        <x:v>2026-09-16T05:12:38.111Z</x:v>
      </x:c>
      <x:c r="M992" s="7" t="str">
        <x:v>https://apm.activecommunities.com/portlandparks/Activity_Search/painting---watercolor-all-levels/208701?locale=en-US</x:v>
      </x:c>
    </x:row>
    <x:row r="993" ht="38" customHeight="1">
      <x:c r="A993" s="8" t="str">
        <x:v>207534</x:v>
      </x:c>
      <x:c r="B993" s="11" t="str">
        <x:v>Painting - Watercolor: Beginning</x:v>
      </x:c>
      <x:c r="C993" s="11" t="str">
        <x:v>Multnomah Arts Ctr</x:v>
      </x:c>
      <x:c r="D993" s="11" t="str">
        <x:v>Arts &amp; Crafts - Painting</x:v>
      </x:c>
      <x:c r="E993" s="8" t="str">
        <x:v>future</x:v>
      </x:c>
      <x:c r="F993" s="8" t="str">
        <x:v>2026-10-01</x:v>
      </x:c>
      <x:c r="G993" s="8" t="str">
        <x:v>2026-12-10</x:v>
      </x:c>
      <x:c r="H993" s="8" t="n">
        <x:v>10</x:v>
      </x:c>
      <x:c r="I993" s="8" t="n">
        <x:v>5</x:v>
      </x:c>
      <x:c r="J993" s="8" t="n">
        <x:v>10</x:v>
      </x:c>
      <x:c r="K993" s="8" t="str">
        <x:v>unverified-denominator</x:v>
      </x:c>
      <x:c r="L993" s="8" t="d">
        <x:v>2026-09-16T05:12:38.111Z</x:v>
      </x:c>
      <x:c r="M993" s="8" t="str">
        <x:v>https://apm.activecommunities.com/portlandparks/Activity_Search/painting---watercolor-beginning/207534?locale=en-US</x:v>
      </x:c>
    </x:row>
    <x:row r="994" ht="38" customHeight="1">
      <x:c r="A994" s="7" t="str">
        <x:v>207535</x:v>
      </x:c>
      <x:c r="B994" s="12" t="str">
        <x:v>Painting - Watercolor: Beginning</x:v>
      </x:c>
      <x:c r="C994" s="12" t="str">
        <x:v>Multnomah Arts Ctr</x:v>
      </x:c>
      <x:c r="D994" s="12" t="str">
        <x:v>Arts &amp; Crafts - Painting</x:v>
      </x:c>
      <x:c r="E994" s="7" t="str">
        <x:v>future</x:v>
      </x:c>
      <x:c r="F994" s="7" t="str">
        <x:v>2026-10-01</x:v>
      </x:c>
      <x:c r="G994" s="7" t="str">
        <x:v>2026-12-10</x:v>
      </x:c>
      <x:c r="H994" s="7" t="n">
        <x:v>10</x:v>
      </x:c>
      <x:c r="I994" s="7" t="n">
        <x:v>17</x:v>
      </x:c>
      <x:c r="J994" s="7" t="n">
        <x:v>10</x:v>
      </x:c>
      <x:c r="K994" s="7" t="str">
        <x:v>unverified-denominator</x:v>
      </x:c>
      <x:c r="L994" s="7" t="d">
        <x:v>2026-09-16T05:12:38.111Z</x:v>
      </x:c>
      <x:c r="M994" s="7" t="str">
        <x:v>https://apm.activecommunities.com/portlandparks/Activity_Search/painting---watercolor-beginning/207535?locale=en-US</x:v>
      </x:c>
    </x:row>
    <x:row r="995" ht="38" customHeight="1">
      <x:c r="A995" s="8" t="str">
        <x:v>207157</x:v>
      </x:c>
      <x:c r="B995" s="11" t="str">
        <x:v>Painting - Watercolor: Beginning</x:v>
      </x:c>
      <x:c r="C995" s="11" t="str">
        <x:v>Multnomah Arts Ctr</x:v>
      </x:c>
      <x:c r="D995" s="11" t="str">
        <x:v>Arts &amp; Crafts - Painting</x:v>
      </x:c>
      <x:c r="E995" s="8" t="str">
        <x:v>future</x:v>
      </x:c>
      <x:c r="F995" s="8" t="str">
        <x:v>2026-10-07</x:v>
      </x:c>
      <x:c r="G995" s="8" t="str">
        <x:v>2026-12-16</x:v>
      </x:c>
      <x:c r="H995" s="8" t="n">
        <x:v>12</x:v>
      </x:c>
      <x:c r="I995" s="8" t="n">
        <x:v>1</x:v>
      </x:c>
      <x:c r="J995" s="8" t="n">
        <x:v>12</x:v>
      </x:c>
      <x:c r="K995" s="8" t="str">
        <x:v>unverified-denominator</x:v>
      </x:c>
      <x:c r="L995" s="8" t="d">
        <x:v>2026-09-16T05:12:38.111Z</x:v>
      </x:c>
      <x:c r="M995" s="8" t="str">
        <x:v>https://apm.activecommunities.com/portlandparks/Activity_Search/painting---watercolor-beginning/207157?locale=en-US</x:v>
      </x:c>
    </x:row>
    <x:row r="996" ht="38" customHeight="1">
      <x:c r="A996" s="7" t="str">
        <x:v>207536</x:v>
      </x:c>
      <x:c r="B996" s="12" t="str">
        <x:v>Photography - Darkroom: Black &amp; White Studio</x:v>
      </x:c>
      <x:c r="C996" s="12" t="str">
        <x:v>Multnomah Arts Ctr</x:v>
      </x:c>
      <x:c r="D996" s="12" t="str">
        <x:v>Arts &amp; Crafts - Glass/Photo/Print &amp; Wood</x:v>
      </x:c>
      <x:c r="E996" s="7" t="str">
        <x:v>future</x:v>
      </x:c>
      <x:c r="F996" s="7" t="str">
        <x:v>2026-09-29</x:v>
      </x:c>
      <x:c r="G996" s="7" t="str">
        <x:v>2026-10-27</x:v>
      </x:c>
      <x:c r="H996" s="7" t="n">
        <x:v>4</x:v>
      </x:c>
      <x:c r="I996" s="7" t="n">
        <x:v>3</x:v>
      </x:c>
      <x:c r="J996" s="7" t="n">
        <x:v>4</x:v>
      </x:c>
      <x:c r="K996" s="7" t="str">
        <x:v>unverified-denominator</x:v>
      </x:c>
      <x:c r="L996" s="7" t="d">
        <x:v>2026-09-16T05:12:38.111Z</x:v>
      </x:c>
      <x:c r="M996" s="7" t="str">
        <x:v>https://apm.activecommunities.com/portlandparks/Activity_Search/photography---darkroom-black-white-studio/207536?locale=en-US</x:v>
      </x:c>
    </x:row>
    <x:row r="997" ht="38" customHeight="1">
      <x:c r="A997" s="8" t="str">
        <x:v>207537</x:v>
      </x:c>
      <x:c r="B997" s="11" t="str">
        <x:v>Photography - Darkroom: Black &amp; White Studio</x:v>
      </x:c>
      <x:c r="C997" s="11" t="str">
        <x:v>Multnomah Arts Ctr</x:v>
      </x:c>
      <x:c r="D997" s="11" t="str">
        <x:v>Arts &amp; Crafts - Glass/Photo/Print &amp; Wood</x:v>
      </x:c>
      <x:c r="E997" s="8" t="str">
        <x:v>future</x:v>
      </x:c>
      <x:c r="F997" s="8" t="str">
        <x:v>2026-10-02</x:v>
      </x:c>
      <x:c r="G997" s="8" t="str">
        <x:v>2026-10-30</x:v>
      </x:c>
      <x:c r="H997" s="8" t="n">
        <x:v>4</x:v>
      </x:c>
      <x:c r="I997" s="8"/>
      <x:c r="J997" s="8" t="n">
        <x:v>4</x:v>
      </x:c>
      <x:c r="K997" s="8" t="str">
        <x:v>unverified-denominator</x:v>
      </x:c>
      <x:c r="L997" s="8" t="d">
        <x:v>2026-09-16T05:12:38.111Z</x:v>
      </x:c>
      <x:c r="M997" s="8" t="str">
        <x:v>https://apm.activecommunities.com/portlandparks/Activity_Search/photography---darkroom-black-white-studio/207537?locale=en-US</x:v>
      </x:c>
    </x:row>
    <x:row r="998" ht="38" customHeight="1">
      <x:c r="A998" s="7" t="str">
        <x:v>207538</x:v>
      </x:c>
      <x:c r="B998" s="12" t="str">
        <x:v>Photography - Darkroom: Black &amp; White Studio</x:v>
      </x:c>
      <x:c r="C998" s="12" t="str">
        <x:v>Multnomah Arts Ctr</x:v>
      </x:c>
      <x:c r="D998" s="12" t="str">
        <x:v>Arts &amp; Crafts - Glass/Photo/Print &amp; Wood</x:v>
      </x:c>
      <x:c r="E998" s="7" t="str">
        <x:v>future</x:v>
      </x:c>
      <x:c r="F998" s="7" t="str">
        <x:v>2026-10-03</x:v>
      </x:c>
      <x:c r="G998" s="7" t="str">
        <x:v>2026-10-31</x:v>
      </x:c>
      <x:c r="H998" s="7" t="n">
        <x:v>2</x:v>
      </x:c>
      <x:c r="I998" s="7"/>
      <x:c r="J998" s="7" t="n">
        <x:v>4</x:v>
      </x:c>
      <x:c r="K998" s="7" t="str">
        <x:v>unverified-denominator</x:v>
      </x:c>
      <x:c r="L998" s="7" t="d">
        <x:v>2026-09-16T05:12:38.111Z</x:v>
      </x:c>
      <x:c r="M998" s="7" t="str">
        <x:v>https://apm.activecommunities.com/portlandparks/Activity_Search/photography---darkroom-black-white-studio/207538?locale=en-US</x:v>
      </x:c>
    </x:row>
    <x:row r="999" ht="38" customHeight="1">
      <x:c r="A999" s="8" t="str">
        <x:v>207539</x:v>
      </x:c>
      <x:c r="B999" s="11" t="str">
        <x:v>Photography - Darkroom: Black &amp; White Studio</x:v>
      </x:c>
      <x:c r="C999" s="11" t="str">
        <x:v>Multnomah Arts Ctr</x:v>
      </x:c>
      <x:c r="D999" s="11" t="str">
        <x:v>Arts &amp; Crafts - Glass/Photo/Print &amp; Wood</x:v>
      </x:c>
      <x:c r="E999" s="8" t="str">
        <x:v>future</x:v>
      </x:c>
      <x:c r="F999" s="8" t="str">
        <x:v>2026-11-02</x:v>
      </x:c>
      <x:c r="G999" s="8" t="str">
        <x:v>2026-11-30</x:v>
      </x:c>
      <x:c r="H999" s="8" t="n">
        <x:v>0</x:v>
      </x:c>
      <x:c r="I999" s="8"/>
      <x:c r="J999" s="8" t="n">
        <x:v>4</x:v>
      </x:c>
      <x:c r="K999" s="8" t="str">
        <x:v>unverified-denominator</x:v>
      </x:c>
      <x:c r="L999" s="8" t="d">
        <x:v>2026-09-16T05:12:38.111Z</x:v>
      </x:c>
      <x:c r="M999" s="8" t="str">
        <x:v>https://apm.activecommunities.com/portlandparks/Activity_Search/photography---darkroom-black-white-studio/207539?locale=en-US</x:v>
      </x:c>
    </x:row>
    <x:row r="1000" ht="38" customHeight="1">
      <x:c r="A1000" s="7" t="str">
        <x:v>208188</x:v>
      </x:c>
      <x:c r="B1000" s="12" t="str">
        <x:v>Photography - Darkroom: Black &amp; White Studio</x:v>
      </x:c>
      <x:c r="C1000" s="12" t="str">
        <x:v>Multnomah Arts Ctr</x:v>
      </x:c>
      <x:c r="D1000" s="12" t="str">
        <x:v>Arts &amp; Crafts - Glass/Photo/Print &amp; Wood</x:v>
      </x:c>
      <x:c r="E1000" s="7" t="str">
        <x:v>future</x:v>
      </x:c>
      <x:c r="F1000" s="7" t="str">
        <x:v>2026-11-03</x:v>
      </x:c>
      <x:c r="G1000" s="7" t="str">
        <x:v>2026-12-01</x:v>
      </x:c>
      <x:c r="H1000" s="7" t="n">
        <x:v>0</x:v>
      </x:c>
      <x:c r="I1000" s="7"/>
      <x:c r="J1000" s="7" t="n">
        <x:v>4</x:v>
      </x:c>
      <x:c r="K1000" s="7" t="str">
        <x:v>unverified-denominator</x:v>
      </x:c>
      <x:c r="L1000" s="7" t="d">
        <x:v>2026-09-16T05:12:38.111Z</x:v>
      </x:c>
      <x:c r="M1000" s="7" t="str">
        <x:v>https://apm.activecommunities.com/portlandparks/Activity_Search/photography---darkroom-black-white-studio/208188?locale=en-US</x:v>
      </x:c>
    </x:row>
    <x:row r="1001" ht="38" customHeight="1">
      <x:c r="A1001" s="8" t="str">
        <x:v>208189</x:v>
      </x:c>
      <x:c r="B1001" s="11" t="str">
        <x:v>Photography - Darkroom: Black &amp; White Studio</x:v>
      </x:c>
      <x:c r="C1001" s="11" t="str">
        <x:v>Multnomah Arts Ctr</x:v>
      </x:c>
      <x:c r="D1001" s="11" t="str">
        <x:v>Arts &amp; Crafts - Glass/Photo/Print &amp; Wood</x:v>
      </x:c>
      <x:c r="E1001" s="8" t="str">
        <x:v>future</x:v>
      </x:c>
      <x:c r="F1001" s="8" t="str">
        <x:v>2026-11-06</x:v>
      </x:c>
      <x:c r="G1001" s="8" t="str">
        <x:v>2026-12-11</x:v>
      </x:c>
      <x:c r="H1001" s="8" t="n">
        <x:v>0</x:v>
      </x:c>
      <x:c r="I1001" s="8"/>
      <x:c r="J1001" s="8" t="n">
        <x:v>4</x:v>
      </x:c>
      <x:c r="K1001" s="8" t="str">
        <x:v>unverified-denominator</x:v>
      </x:c>
      <x:c r="L1001" s="8" t="d">
        <x:v>2026-09-16T05:12:38.111Z</x:v>
      </x:c>
      <x:c r="M1001" s="8" t="str">
        <x:v>https://apm.activecommunities.com/portlandparks/Activity_Search/photography---darkroom-black-white-studio/208189?locale=en-US</x:v>
      </x:c>
    </x:row>
    <x:row r="1002" ht="38" customHeight="1">
      <x:c r="A1002" s="7" t="str">
        <x:v>208187</x:v>
      </x:c>
      <x:c r="B1002" s="12" t="str">
        <x:v>Photography - Darkroom: Black &amp; White Studio - Beginner</x:v>
      </x:c>
      <x:c r="C1002" s="12" t="str">
        <x:v>Multnomah Arts Ctr</x:v>
      </x:c>
      <x:c r="D1002" s="12" t="str">
        <x:v>Arts &amp; Crafts - Glass/Photo/Print &amp; Wood</x:v>
      </x:c>
      <x:c r="E1002" s="7" t="str">
        <x:v>future</x:v>
      </x:c>
      <x:c r="F1002" s="7" t="str">
        <x:v>2026-11-02</x:v>
      </x:c>
      <x:c r="G1002" s="7" t="str">
        <x:v>2026-11-30</x:v>
      </x:c>
      <x:c r="H1002" s="7" t="n">
        <x:v>0</x:v>
      </x:c>
      <x:c r="I1002" s="7"/>
      <x:c r="J1002" s="7" t="n">
        <x:v>4</x:v>
      </x:c>
      <x:c r="K1002" s="7" t="str">
        <x:v>unverified-denominator</x:v>
      </x:c>
      <x:c r="L1002" s="7" t="d">
        <x:v>2026-09-16T05:12:38.111Z</x:v>
      </x:c>
      <x:c r="M1002" s="7" t="str">
        <x:v>https://apm.activecommunities.com/portlandparks/Activity_Search/photography---darkroom-black-white-studio---beginner/208187?locale=en-US</x:v>
      </x:c>
    </x:row>
    <x:row r="1003" ht="38" customHeight="1">
      <x:c r="A1003" s="8" t="str">
        <x:v>207540</x:v>
      </x:c>
      <x:c r="B1003" s="11" t="str">
        <x:v>Photography - Darkroom: Black &amp; White Studio - Beginner</x:v>
      </x:c>
      <x:c r="C1003" s="11" t="str">
        <x:v>Multnomah Arts Ctr</x:v>
      </x:c>
      <x:c r="D1003" s="11" t="str">
        <x:v>Arts &amp; Crafts - Glass/Photo/Print &amp; Wood</x:v>
      </x:c>
      <x:c r="E1003" s="8" t="str">
        <x:v>future</x:v>
      </x:c>
      <x:c r="F1003" s="8" t="str">
        <x:v>2026-10-03</x:v>
      </x:c>
      <x:c r="G1003" s="8" t="str">
        <x:v>2026-10-31</x:v>
      </x:c>
      <x:c r="H1003" s="8" t="n">
        <x:v>4</x:v>
      </x:c>
      <x:c r="I1003" s="8" t="n">
        <x:v>4</x:v>
      </x:c>
      <x:c r="J1003" s="8" t="n">
        <x:v>4</x:v>
      </x:c>
      <x:c r="K1003" s="8" t="str">
        <x:v>unverified-denominator</x:v>
      </x:c>
      <x:c r="L1003" s="8" t="d">
        <x:v>2026-09-16T05:12:38.111Z</x:v>
      </x:c>
      <x:c r="M1003" s="8" t="str">
        <x:v>https://apm.activecommunities.com/portlandparks/Activity_Search/photography---darkroom-black-white-studio---beginner/207540?locale=en-US</x:v>
      </x:c>
    </x:row>
    <x:row r="1004" ht="38" customHeight="1">
      <x:c r="A1004" s="7" t="str">
        <x:v>207541</x:v>
      </x:c>
      <x:c r="B1004" s="12" t="str">
        <x:v>Photography - Darkroom: Studio Day</x:v>
      </x:c>
      <x:c r="C1004" s="12" t="str">
        <x:v>Multnomah Arts Ctr</x:v>
      </x:c>
      <x:c r="D1004" s="12" t="str">
        <x:v>Arts &amp; Crafts - Glass/Photo/Print &amp; Wood</x:v>
      </x:c>
      <x:c r="E1004" s="7" t="str">
        <x:v>undated</x:v>
      </x:c>
      <x:c r="F1004" s="7" t="str">
        <x:v>2026-10-26</x:v>
      </x:c>
      <x:c r="G1004" s="7" t="str"/>
      <x:c r="H1004" s="7" t="n">
        <x:v>2</x:v>
      </x:c>
      <x:c r="I1004" s="7"/>
      <x:c r="J1004" s="7" t="n">
        <x:v>4</x:v>
      </x:c>
      <x:c r="K1004" s="7" t="str">
        <x:v>unverified-denominator</x:v>
      </x:c>
      <x:c r="L1004" s="7" t="d">
        <x:v>2026-09-16T05:12:38.111Z</x:v>
      </x:c>
      <x:c r="M1004" s="7" t="str">
        <x:v>https://apm.activecommunities.com/portlandparks/Activity_Search/photography---darkroom-studio-day/207541?locale=en-US</x:v>
      </x:c>
    </x:row>
    <x:row r="1005" ht="38" customHeight="1">
      <x:c r="A1005" s="8" t="str">
        <x:v>207542</x:v>
      </x:c>
      <x:c r="B1005" s="11" t="str">
        <x:v>Photography - Darkroom: Studio Day</x:v>
      </x:c>
      <x:c r="C1005" s="11" t="str">
        <x:v>Multnomah Arts Ctr</x:v>
      </x:c>
      <x:c r="D1005" s="11" t="str">
        <x:v>Arts &amp; Crafts - Glass/Photo/Print &amp; Wood</x:v>
      </x:c>
      <x:c r="E1005" s="8" t="str">
        <x:v>undated</x:v>
      </x:c>
      <x:c r="F1005" s="8" t="str">
        <x:v>2026-11-14</x:v>
      </x:c>
      <x:c r="G1005" s="8" t="str"/>
      <x:c r="H1005" s="8" t="n">
        <x:v>0</x:v>
      </x:c>
      <x:c r="I1005" s="8"/>
      <x:c r="J1005" s="8" t="n">
        <x:v>4</x:v>
      </x:c>
      <x:c r="K1005" s="8" t="str">
        <x:v>unverified-denominator</x:v>
      </x:c>
      <x:c r="L1005" s="8" t="d">
        <x:v>2026-09-16T05:12:38.111Z</x:v>
      </x:c>
      <x:c r="M1005" s="8" t="str">
        <x:v>https://apm.activecommunities.com/portlandparks/Activity_Search/photography---darkroom-studio-day/207542?locale=en-US</x:v>
      </x:c>
    </x:row>
    <x:row r="1006" ht="38" customHeight="1">
      <x:c r="A1006" s="7" t="str">
        <x:v>207543</x:v>
      </x:c>
      <x:c r="B1006" s="12" t="str">
        <x:v>Photography - Darkroom: Studio Day</x:v>
      </x:c>
      <x:c r="C1006" s="12" t="str">
        <x:v>Multnomah Arts Ctr</x:v>
      </x:c>
      <x:c r="D1006" s="12" t="str">
        <x:v>Arts &amp; Crafts - Glass/Photo/Print &amp; Wood</x:v>
      </x:c>
      <x:c r="E1006" s="7" t="str">
        <x:v>undated</x:v>
      </x:c>
      <x:c r="F1006" s="7" t="str">
        <x:v>2026-11-21</x:v>
      </x:c>
      <x:c r="G1006" s="7" t="str"/>
      <x:c r="H1006" s="7" t="n">
        <x:v>0</x:v>
      </x:c>
      <x:c r="I1006" s="7"/>
      <x:c r="J1006" s="7" t="n">
        <x:v>4</x:v>
      </x:c>
      <x:c r="K1006" s="7" t="str">
        <x:v>unverified-denominator</x:v>
      </x:c>
      <x:c r="L1006" s="7" t="d">
        <x:v>2026-09-16T05:12:38.111Z</x:v>
      </x:c>
      <x:c r="M1006" s="7" t="str">
        <x:v>https://apm.activecommunities.com/portlandparks/Activity_Search/photography---darkroom-studio-day/207543?locale=en-US</x:v>
      </x:c>
    </x:row>
    <x:row r="1007" ht="38" customHeight="1">
      <x:c r="A1007" s="8" t="str">
        <x:v>207544</x:v>
      </x:c>
      <x:c r="B1007" s="11" t="str">
        <x:v>Photography - Darkroom: Studio Day</x:v>
      </x:c>
      <x:c r="C1007" s="11" t="str">
        <x:v>Multnomah Arts Ctr</x:v>
      </x:c>
      <x:c r="D1007" s="11" t="str">
        <x:v>Arts &amp; Crafts - Glass/Photo/Print &amp; Wood</x:v>
      </x:c>
      <x:c r="E1007" s="8" t="str">
        <x:v>undated</x:v>
      </x:c>
      <x:c r="F1007" s="8" t="str">
        <x:v>2026-11-24</x:v>
      </x:c>
      <x:c r="G1007" s="8" t="str"/>
      <x:c r="H1007" s="8" t="n">
        <x:v>0</x:v>
      </x:c>
      <x:c r="I1007" s="8"/>
      <x:c r="J1007" s="8" t="n">
        <x:v>4</x:v>
      </x:c>
      <x:c r="K1007" s="8" t="str">
        <x:v>unverified-denominator</x:v>
      </x:c>
      <x:c r="L1007" s="8" t="d">
        <x:v>2026-09-16T05:12:38.111Z</x:v>
      </x:c>
      <x:c r="M1007" s="8" t="str">
        <x:v>https://apm.activecommunities.com/portlandparks/Activity_Search/photography---darkroom-studio-day/207544?locale=en-US</x:v>
      </x:c>
    </x:row>
    <x:row r="1008" ht="38" customHeight="1">
      <x:c r="A1008" s="7" t="str">
        <x:v>207545</x:v>
      </x:c>
      <x:c r="B1008" s="12" t="str">
        <x:v>Photography - Darkroom: Studio Day</x:v>
      </x:c>
      <x:c r="C1008" s="12" t="str">
        <x:v>Multnomah Arts Ctr</x:v>
      </x:c>
      <x:c r="D1008" s="12" t="str">
        <x:v>Arts &amp; Crafts - Glass/Photo/Print &amp; Wood</x:v>
      </x:c>
      <x:c r="E1008" s="7" t="str">
        <x:v>undated</x:v>
      </x:c>
      <x:c r="F1008" s="7" t="str">
        <x:v>2026-12-12</x:v>
      </x:c>
      <x:c r="G1008" s="7" t="str"/>
      <x:c r="H1008" s="7" t="n">
        <x:v>0</x:v>
      </x:c>
      <x:c r="I1008" s="7"/>
      <x:c r="J1008" s="7" t="n">
        <x:v>4</x:v>
      </x:c>
      <x:c r="K1008" s="7" t="str">
        <x:v>unverified-denominator</x:v>
      </x:c>
      <x:c r="L1008" s="7" t="d">
        <x:v>2026-09-16T05:12:38.111Z</x:v>
      </x:c>
      <x:c r="M1008" s="7" t="str">
        <x:v>https://apm.activecommunities.com/portlandparks/Activity_Search/photography---darkroom-studio-day/207545?locale=en-US</x:v>
      </x:c>
    </x:row>
    <x:row r="1009" ht="38" customHeight="1">
      <x:c r="A1009" s="8" t="str">
        <x:v>207549</x:v>
      </x:c>
      <x:c r="B1009" s="11" t="str">
        <x:v>Photography - iPhone</x:v>
      </x:c>
      <x:c r="C1009" s="11" t="str">
        <x:v>Multnomah Arts Ctr</x:v>
      </x:c>
      <x:c r="D1009" s="11" t="str">
        <x:v>Arts &amp; Crafts - Glass/Photo/Print &amp; Wood</x:v>
      </x:c>
      <x:c r="E1009" s="8" t="str">
        <x:v>undated</x:v>
      </x:c>
      <x:c r="F1009" s="8" t="str">
        <x:v>2026-12-07</x:v>
      </x:c>
      <x:c r="G1009" s="8" t="str"/>
      <x:c r="H1009" s="8" t="n">
        <x:v>0</x:v>
      </x:c>
      <x:c r="I1009" s="8"/>
      <x:c r="J1009" s="8" t="n">
        <x:v>10</x:v>
      </x:c>
      <x:c r="K1009" s="8" t="str">
        <x:v>unverified-denominator</x:v>
      </x:c>
      <x:c r="L1009" s="8" t="d">
        <x:v>2026-09-16T05:12:38.111Z</x:v>
      </x:c>
      <x:c r="M1009" s="8" t="str">
        <x:v>https://apm.activecommunities.com/portlandparks/Activity_Search/photography---iphone/207549?locale=en-US</x:v>
      </x:c>
    </x:row>
    <x:row r="1010" ht="38" customHeight="1">
      <x:c r="A1010" s="7" t="str">
        <x:v>207550</x:v>
      </x:c>
      <x:c r="B1010" s="12" t="str">
        <x:v>Photography - Photography 101: Digital SLR Basics</x:v>
      </x:c>
      <x:c r="C1010" s="12" t="str">
        <x:v>Multnomah Arts Ctr</x:v>
      </x:c>
      <x:c r="D1010" s="12" t="str">
        <x:v>Arts &amp; Crafts - Glass/Photo/Print &amp; Wood</x:v>
      </x:c>
      <x:c r="E1010" s="7" t="str">
        <x:v>future</x:v>
      </x:c>
      <x:c r="F1010" s="7" t="str">
        <x:v>2026-10-02</x:v>
      </x:c>
      <x:c r="G1010" s="7" t="str">
        <x:v>2026-10-30</x:v>
      </x:c>
      <x:c r="H1010" s="7" t="n">
        <x:v>5</x:v>
      </x:c>
      <x:c r="I1010" s="7"/>
      <x:c r="J1010" s="7" t="n">
        <x:v>10</x:v>
      </x:c>
      <x:c r="K1010" s="7" t="str">
        <x:v>unverified-denominator</x:v>
      </x:c>
      <x:c r="L1010" s="7" t="d">
        <x:v>2026-09-16T05:12:38.111Z</x:v>
      </x:c>
      <x:c r="M1010" s="7" t="str">
        <x:v>https://apm.activecommunities.com/portlandparks/Activity_Search/photography---photography-101-digital-slr-basics/207550?locale=en-US</x:v>
      </x:c>
    </x:row>
    <x:row r="1011" ht="38" customHeight="1">
      <x:c r="A1011" s="8" t="str">
        <x:v>207551</x:v>
      </x:c>
      <x:c r="B1011" s="11" t="str">
        <x:v>Photography - Photography 102</x:v>
      </x:c>
      <x:c r="C1011" s="11" t="str">
        <x:v>Multnomah Arts Ctr</x:v>
      </x:c>
      <x:c r="D1011" s="11" t="str">
        <x:v>Arts &amp; Crafts - Glass/Photo/Print &amp; Wood</x:v>
      </x:c>
      <x:c r="E1011" s="8" t="str">
        <x:v>future</x:v>
      </x:c>
      <x:c r="F1011" s="8" t="str">
        <x:v>2026-11-06</x:v>
      </x:c>
      <x:c r="G1011" s="8" t="str">
        <x:v>2026-12-11</x:v>
      </x:c>
      <x:c r="H1011" s="8" t="n">
        <x:v>0</x:v>
      </x:c>
      <x:c r="I1011" s="8"/>
      <x:c r="J1011" s="8" t="n">
        <x:v>10</x:v>
      </x:c>
      <x:c r="K1011" s="8" t="str">
        <x:v>unverified-denominator</x:v>
      </x:c>
      <x:c r="L1011" s="8" t="d">
        <x:v>2026-09-16T05:12:38.111Z</x:v>
      </x:c>
      <x:c r="M1011" s="8" t="str">
        <x:v>https://apm.activecommunities.com/portlandparks/Activity_Search/photography---photography-102/207551?locale=en-US</x:v>
      </x:c>
    </x:row>
    <x:row r="1012" ht="38" customHeight="1">
      <x:c r="A1012" s="7" t="str">
        <x:v>208558</x:v>
      </x:c>
      <x:c r="B1012" s="12" t="str">
        <x:v>Pickleball - Intermediate</x:v>
      </x:c>
      <x:c r="C1012" s="12" t="str">
        <x:v>Southwest Cmty Ctr</x:v>
      </x:c>
      <x:c r="D1012" s="12" t="str">
        <x:v>Sports - Sports Mix</x:v>
      </x:c>
      <x:c r="E1012" s="7" t="str">
        <x:v>future</x:v>
      </x:c>
      <x:c r="F1012" s="7" t="str">
        <x:v>2026-10-02</x:v>
      </x:c>
      <x:c r="G1012" s="7" t="str">
        <x:v>2026-10-23</x:v>
      </x:c>
      <x:c r="H1012" s="7" t="n">
        <x:v>4</x:v>
      </x:c>
      <x:c r="I1012" s="7"/>
      <x:c r="J1012" s="7" t="n">
        <x:v>8</x:v>
      </x:c>
      <x:c r="K1012" s="7" t="str">
        <x:v>unverified-denominator</x:v>
      </x:c>
      <x:c r="L1012" s="7" t="d">
        <x:v>2026-09-16T05:12:38.111Z</x:v>
      </x:c>
      <x:c r="M1012" s="7" t="str">
        <x:v>https://apm.activecommunities.com/portlandparks/Activity_Search/pickleball---intermediate/208558?locale=en-US</x:v>
      </x:c>
    </x:row>
    <x:row r="1013" ht="38" customHeight="1">
      <x:c r="A1013" s="8" t="str">
        <x:v>208559</x:v>
      </x:c>
      <x:c r="B1013" s="11" t="str">
        <x:v>Pickleball - Intermediate</x:v>
      </x:c>
      <x:c r="C1013" s="11" t="str">
        <x:v>Southwest Cmty Ctr</x:v>
      </x:c>
      <x:c r="D1013" s="11" t="str">
        <x:v>Sports - Sports Mix</x:v>
      </x:c>
      <x:c r="E1013" s="8" t="str">
        <x:v>future</x:v>
      </x:c>
      <x:c r="F1013" s="8" t="str">
        <x:v>2026-11-06</x:v>
      </x:c>
      <x:c r="G1013" s="8" t="str">
        <x:v>2026-12-04</x:v>
      </x:c>
      <x:c r="H1013" s="8" t="n">
        <x:v>0</x:v>
      </x:c>
      <x:c r="I1013" s="8"/>
      <x:c r="J1013" s="8" t="n">
        <x:v>8</x:v>
      </x:c>
      <x:c r="K1013" s="8" t="str">
        <x:v>unverified-denominator</x:v>
      </x:c>
      <x:c r="L1013" s="8" t="d">
        <x:v>2026-09-16T05:12:38.111Z</x:v>
      </x:c>
      <x:c r="M1013" s="8" t="str">
        <x:v>https://apm.activecommunities.com/portlandparks/Activity_Search/pickleball---intermediate/208559?locale=en-US</x:v>
      </x:c>
    </x:row>
    <x:row r="1014" ht="38" customHeight="1">
      <x:c r="A1014" s="7" t="str">
        <x:v>208560</x:v>
      </x:c>
      <x:c r="B1014" s="12" t="str">
        <x:v>Pickleball - Intro to Pickleball</x:v>
      </x:c>
      <x:c r="C1014" s="12" t="str">
        <x:v>Southwest Cmty Ctr</x:v>
      </x:c>
      <x:c r="D1014" s="12" t="str">
        <x:v>Sports - Sports Mix</x:v>
      </x:c>
      <x:c r="E1014" s="7" t="str">
        <x:v>future</x:v>
      </x:c>
      <x:c r="F1014" s="7" t="str">
        <x:v>2026-11-06</x:v>
      </x:c>
      <x:c r="G1014" s="7" t="str">
        <x:v>2026-11-13</x:v>
      </x:c>
      <x:c r="H1014" s="7" t="n">
        <x:v>0</x:v>
      </x:c>
      <x:c r="I1014" s="7"/>
      <x:c r="J1014" s="7" t="n">
        <x:v>8</x:v>
      </x:c>
      <x:c r="K1014" s="7" t="str">
        <x:v>unverified-denominator</x:v>
      </x:c>
      <x:c r="L1014" s="7" t="d">
        <x:v>2026-09-16T05:12:38.111Z</x:v>
      </x:c>
      <x:c r="M1014" s="7" t="str">
        <x:v>https://apm.activecommunities.com/portlandparks/Activity_Search/pickleball---intro-to-pickleball/208560?locale=en-US</x:v>
      </x:c>
    </x:row>
    <x:row r="1015" ht="38" customHeight="1">
      <x:c r="A1015" s="8" t="str">
        <x:v>208561</x:v>
      </x:c>
      <x:c r="B1015" s="11" t="str">
        <x:v>Pickleball - Intro to Pickleball</x:v>
      </x:c>
      <x:c r="C1015" s="11" t="str">
        <x:v>Southwest Cmty Ctr</x:v>
      </x:c>
      <x:c r="D1015" s="11" t="str">
        <x:v>Sports - Sports Mix</x:v>
      </x:c>
      <x:c r="E1015" s="8" t="str">
        <x:v>future</x:v>
      </x:c>
      <x:c r="F1015" s="8" t="str">
        <x:v>2026-11-20</x:v>
      </x:c>
      <x:c r="G1015" s="8" t="str">
        <x:v>2026-12-04</x:v>
      </x:c>
      <x:c r="H1015" s="8" t="n">
        <x:v>0</x:v>
      </x:c>
      <x:c r="I1015" s="8"/>
      <x:c r="J1015" s="8" t="n">
        <x:v>8</x:v>
      </x:c>
      <x:c r="K1015" s="8" t="str">
        <x:v>unverified-denominator</x:v>
      </x:c>
      <x:c r="L1015" s="8" t="d">
        <x:v>2026-09-16T05:12:38.111Z</x:v>
      </x:c>
      <x:c r="M1015" s="8" t="str">
        <x:v>https://apm.activecommunities.com/portlandparks/Activity_Search/pickleball---intro-to-pickleball/208561?locale=en-US</x:v>
      </x:c>
    </x:row>
    <x:row r="1016" ht="38" customHeight="1">
      <x:c r="A1016" s="7" t="str">
        <x:v>208556</x:v>
      </x:c>
      <x:c r="B1016" s="12" t="str">
        <x:v>Pickleball - Intro to Pickleball</x:v>
      </x:c>
      <x:c r="C1016" s="12" t="str">
        <x:v>Southwest Cmty Ctr</x:v>
      </x:c>
      <x:c r="D1016" s="12" t="str">
        <x:v>Sports - Sports Mix</x:v>
      </x:c>
      <x:c r="E1016" s="7" t="str">
        <x:v>future</x:v>
      </x:c>
      <x:c r="F1016" s="7" t="str">
        <x:v>2026-10-02</x:v>
      </x:c>
      <x:c r="G1016" s="7" t="str">
        <x:v>2026-10-09</x:v>
      </x:c>
      <x:c r="H1016" s="7" t="n">
        <x:v>4</x:v>
      </x:c>
      <x:c r="I1016" s="7"/>
      <x:c r="J1016" s="7" t="n">
        <x:v>8</x:v>
      </x:c>
      <x:c r="K1016" s="7" t="str">
        <x:v>unverified-denominator</x:v>
      </x:c>
      <x:c r="L1016" s="7" t="d">
        <x:v>2026-09-16T05:12:38.111Z</x:v>
      </x:c>
      <x:c r="M1016" s="7" t="str">
        <x:v>https://apm.activecommunities.com/portlandparks/Activity_Search/pickleball---intro-to-pickleball/208556?locale=en-US</x:v>
      </x:c>
    </x:row>
    <x:row r="1017" ht="38" customHeight="1">
      <x:c r="A1017" s="8" t="str">
        <x:v>208557</x:v>
      </x:c>
      <x:c r="B1017" s="11" t="str">
        <x:v>Pickleball - Intro to Pickleball</x:v>
      </x:c>
      <x:c r="C1017" s="11" t="str">
        <x:v>Southwest Cmty Ctr</x:v>
      </x:c>
      <x:c r="D1017" s="11" t="str">
        <x:v>Sports - Sports Mix</x:v>
      </x:c>
      <x:c r="E1017" s="8" t="str">
        <x:v>future</x:v>
      </x:c>
      <x:c r="F1017" s="8" t="str">
        <x:v>2026-10-16</x:v>
      </x:c>
      <x:c r="G1017" s="8" t="str">
        <x:v>2026-10-23</x:v>
      </x:c>
      <x:c r="H1017" s="8" t="n">
        <x:v>1</x:v>
      </x:c>
      <x:c r="I1017" s="8"/>
      <x:c r="J1017" s="8" t="n">
        <x:v>8</x:v>
      </x:c>
      <x:c r="K1017" s="8" t="str">
        <x:v>unverified-denominator</x:v>
      </x:c>
      <x:c r="L1017" s="8" t="d">
        <x:v>2026-09-16T05:12:38.111Z</x:v>
      </x:c>
      <x:c r="M1017" s="8" t="str">
        <x:v>https://apm.activecommunities.com/portlandparks/Activity_Search/pickleball---intro-to-pickleball/208557?locale=en-US</x:v>
      </x:c>
    </x:row>
    <x:row r="1018" ht="38" customHeight="1">
      <x:c r="A1018" s="7" t="str">
        <x:v>208088</x:v>
      </x:c>
      <x:c r="B1018" s="12" t="str">
        <x:v>PreBallet - Starting Steps!</x:v>
      </x:c>
      <x:c r="C1018" s="12" t="str">
        <x:v>Peninsula Park Cmty Ctr</x:v>
      </x:c>
      <x:c r="D1018" s="12" t="str">
        <x:v>Dance</x:v>
      </x:c>
      <x:c r="E1018" s="7" t="str">
        <x:v>future</x:v>
      </x:c>
      <x:c r="F1018" s="7" t="str">
        <x:v>2026-09-29</x:v>
      </x:c>
      <x:c r="G1018" s="7" t="str">
        <x:v>2026-10-27</x:v>
      </x:c>
      <x:c r="H1018" s="7" t="n">
        <x:v>10</x:v>
      </x:c>
      <x:c r="I1018" s="7" t="n">
        <x:v>7</x:v>
      </x:c>
      <x:c r="J1018" s="7" t="n">
        <x:v>10</x:v>
      </x:c>
      <x:c r="K1018" s="7" t="str">
        <x:v>unverified-denominator</x:v>
      </x:c>
      <x:c r="L1018" s="7" t="d">
        <x:v>2026-09-16T05:12:38.111Z</x:v>
      </x:c>
      <x:c r="M1018" s="7" t="str">
        <x:v>https://apm.activecommunities.com/portlandparks/Activity_Search/preballet---starting-steps/208088?locale=en-US</x:v>
      </x:c>
    </x:row>
    <x:row r="1019" ht="38" customHeight="1">
      <x:c r="A1019" s="8" t="str">
        <x:v>208089</x:v>
      </x:c>
      <x:c r="B1019" s="11" t="str">
        <x:v>PreBallet - Starting Steps!</x:v>
      </x:c>
      <x:c r="C1019" s="11" t="str">
        <x:v>Peninsula Park Cmty Ctr</x:v>
      </x:c>
      <x:c r="D1019" s="11" t="str">
        <x:v>Dance</x:v>
      </x:c>
      <x:c r="E1019" s="8" t="str">
        <x:v>future</x:v>
      </x:c>
      <x:c r="F1019" s="8" t="str">
        <x:v>2026-11-03</x:v>
      </x:c>
      <x:c r="G1019" s="8" t="str">
        <x:v>2026-12-01</x:v>
      </x:c>
      <x:c r="H1019" s="8" t="n">
        <x:v>0</x:v>
      </x:c>
      <x:c r="I1019" s="8"/>
      <x:c r="J1019" s="8" t="n">
        <x:v>10</x:v>
      </x:c>
      <x:c r="K1019" s="8" t="str">
        <x:v>unverified-denominator</x:v>
      </x:c>
      <x:c r="L1019" s="8" t="d">
        <x:v>2026-09-16T05:12:38.111Z</x:v>
      </x:c>
      <x:c r="M1019" s="8" t="str">
        <x:v>https://apm.activecommunities.com/portlandparks/Activity_Search/preballet---starting-steps/208089?locale=en-US</x:v>
      </x:c>
    </x:row>
    <x:row r="1020" ht="38" customHeight="1">
      <x:c r="A1020" s="7" t="str">
        <x:v>209190</x:v>
      </x:c>
      <x:c r="B1020" s="12" t="str">
        <x:v>PreBallet - Starting Steps!</x:v>
      </x:c>
      <x:c r="C1020" s="12" t="str">
        <x:v>Peninsula Park Cmty Ctr</x:v>
      </x:c>
      <x:c r="D1020" s="12" t="str">
        <x:v>Dance</x:v>
      </x:c>
      <x:c r="E1020" s="7" t="str">
        <x:v>future</x:v>
      </x:c>
      <x:c r="F1020" s="7" t="str">
        <x:v>2026-09-30</x:v>
      </x:c>
      <x:c r="G1020" s="7" t="str">
        <x:v>2026-10-28</x:v>
      </x:c>
      <x:c r="H1020" s="7" t="n">
        <x:v>10</x:v>
      </x:c>
      <x:c r="I1020" s="7"/>
      <x:c r="J1020" s="7" t="n">
        <x:v>10</x:v>
      </x:c>
      <x:c r="K1020" s="7" t="str">
        <x:v>unverified-denominator</x:v>
      </x:c>
      <x:c r="L1020" s="7" t="d">
        <x:v>2026-09-16T05:12:38.111Z</x:v>
      </x:c>
      <x:c r="M1020" s="7" t="str">
        <x:v>https://apm.activecommunities.com/portlandparks/Activity_Search/preballet---starting-steps/209190?locale=en-US</x:v>
      </x:c>
    </x:row>
    <x:row r="1021" ht="38" customHeight="1">
      <x:c r="A1021" s="8" t="str">
        <x:v>209191</x:v>
      </x:c>
      <x:c r="B1021" s="11" t="str">
        <x:v>PreBallet - Starting Steps!</x:v>
      </x:c>
      <x:c r="C1021" s="11" t="str">
        <x:v>Peninsula Park Cmty Ctr</x:v>
      </x:c>
      <x:c r="D1021" s="11" t="str">
        <x:v>Dance</x:v>
      </x:c>
      <x:c r="E1021" s="8" t="str">
        <x:v>future</x:v>
      </x:c>
      <x:c r="F1021" s="8" t="str">
        <x:v>2026-11-04</x:v>
      </x:c>
      <x:c r="G1021" s="8" t="str">
        <x:v>2026-12-09</x:v>
      </x:c>
      <x:c r="H1021" s="8" t="n">
        <x:v>0</x:v>
      </x:c>
      <x:c r="I1021" s="8"/>
      <x:c r="J1021" s="8" t="n">
        <x:v>10</x:v>
      </x:c>
      <x:c r="K1021" s="8" t="str">
        <x:v>unverified-denominator</x:v>
      </x:c>
      <x:c r="L1021" s="8" t="d">
        <x:v>2026-09-16T05:12:38.111Z</x:v>
      </x:c>
      <x:c r="M1021" s="8" t="str">
        <x:v>https://apm.activecommunities.com/portlandparks/Activity_Search/preballet---starting-steps/209191?locale=en-US</x:v>
      </x:c>
    </x:row>
    <x:row r="1022" ht="38" customHeight="1">
      <x:c r="A1022" s="7" t="str">
        <x:v>201948</x:v>
      </x:c>
      <x:c r="B1022" s="12" t="str">
        <x:v>PreBallet - Starting Steps!</x:v>
      </x:c>
      <x:c r="C1022" s="12" t="str">
        <x:v>Peninsula Park Cmty Ctr</x:v>
      </x:c>
      <x:c r="D1022" s="12" t="str">
        <x:v>Dance</x:v>
      </x:c>
      <x:c r="E1022" s="7" t="str">
        <x:v>active</x:v>
      </x:c>
      <x:c r="F1022" s="7" t="str">
        <x:v>2026-09-01</x:v>
      </x:c>
      <x:c r="G1022" s="7" t="str">
        <x:v>2026-09-22</x:v>
      </x:c>
      <x:c r="H1022" s="7" t="n">
        <x:v>12</x:v>
      </x:c>
      <x:c r="I1022" s="7" t="n">
        <x:v>10</x:v>
      </x:c>
      <x:c r="J1022" s="7" t="n">
        <x:v>12</x:v>
      </x:c>
      <x:c r="K1022" s="7" t="str">
        <x:v>unverified-denominator</x:v>
      </x:c>
      <x:c r="L1022" s="7" t="d">
        <x:v>2026-09-16T05:12:38.111Z</x:v>
      </x:c>
      <x:c r="M1022" s="7" t="str">
        <x:v>https://apm.activecommunities.com/portlandparks/Activity_Search/preballet---starting-steps/201948?locale=en-US</x:v>
      </x:c>
    </x:row>
    <x:row r="1023" ht="38" customHeight="1">
      <x:c r="A1023" s="8" t="str">
        <x:v>201954</x:v>
      </x:c>
      <x:c r="B1023" s="11" t="str">
        <x:v>PreBallet - Starting Steps!</x:v>
      </x:c>
      <x:c r="C1023" s="11" t="str">
        <x:v>Peninsula Park Cmty Ctr</x:v>
      </x:c>
      <x:c r="D1023" s="11" t="str">
        <x:v>Dance</x:v>
      </x:c>
      <x:c r="E1023" s="8" t="str">
        <x:v>active</x:v>
      </x:c>
      <x:c r="F1023" s="8" t="str">
        <x:v>2026-09-02</x:v>
      </x:c>
      <x:c r="G1023" s="8" t="str">
        <x:v>2026-09-23</x:v>
      </x:c>
      <x:c r="H1023" s="8" t="n">
        <x:v>12</x:v>
      </x:c>
      <x:c r="I1023" s="8" t="n">
        <x:v>15</x:v>
      </x:c>
      <x:c r="J1023" s="8" t="n">
        <x:v>12</x:v>
      </x:c>
      <x:c r="K1023" s="8" t="str">
        <x:v>unverified-denominator</x:v>
      </x:c>
      <x:c r="L1023" s="8" t="d">
        <x:v>2026-09-16T05:12:38.111Z</x:v>
      </x:c>
      <x:c r="M1023" s="8" t="str">
        <x:v>https://apm.activecommunities.com/portlandparks/Activity_Search/preballet---starting-steps/201954?locale=en-US</x:v>
      </x:c>
    </x:row>
    <x:row r="1024" ht="38" customHeight="1">
      <x:c r="A1024" s="7" t="str">
        <x:v>207552</x:v>
      </x:c>
      <x:c r="B1024" s="12" t="str">
        <x:v>Printmaking - Block Print</x:v>
      </x:c>
      <x:c r="C1024" s="12" t="str">
        <x:v>Multnomah Arts Ctr</x:v>
      </x:c>
      <x:c r="D1024" s="12" t="str">
        <x:v>Arts &amp; Crafts - Glass/Photo/Print &amp; Wood</x:v>
      </x:c>
      <x:c r="E1024" s="7" t="str">
        <x:v>future</x:v>
      </x:c>
      <x:c r="F1024" s="7" t="str">
        <x:v>2026-10-01</x:v>
      </x:c>
      <x:c r="G1024" s="7" t="str">
        <x:v>2026-12-17</x:v>
      </x:c>
      <x:c r="H1024" s="7" t="n">
        <x:v>8</x:v>
      </x:c>
      <x:c r="I1024" s="7" t="n">
        <x:v>3</x:v>
      </x:c>
      <x:c r="J1024" s="7" t="n">
        <x:v>8</x:v>
      </x:c>
      <x:c r="K1024" s="7" t="str">
        <x:v>unverified-denominator</x:v>
      </x:c>
      <x:c r="L1024" s="7" t="d">
        <x:v>2026-09-16T05:12:38.111Z</x:v>
      </x:c>
      <x:c r="M1024" s="7" t="str">
        <x:v>https://apm.activecommunities.com/portlandparks/Activity_Search/printmaking---block-print/207552?locale=en-US</x:v>
      </x:c>
    </x:row>
    <x:row r="1025" ht="38" customHeight="1">
      <x:c r="A1025" s="8" t="str">
        <x:v>207554</x:v>
      </x:c>
      <x:c r="B1025" s="11" t="str">
        <x:v>Printmaking - Etching: Beginning</x:v>
      </x:c>
      <x:c r="C1025" s="11" t="str">
        <x:v>Multnomah Arts Ctr</x:v>
      </x:c>
      <x:c r="D1025" s="11" t="str">
        <x:v>Arts &amp; Crafts - Glass/Photo/Print &amp; Wood</x:v>
      </x:c>
      <x:c r="E1025" s="8" t="str">
        <x:v>future</x:v>
      </x:c>
      <x:c r="F1025" s="8" t="str">
        <x:v>2026-09-29</x:v>
      </x:c>
      <x:c r="G1025" s="8" t="str">
        <x:v>2026-12-01</x:v>
      </x:c>
      <x:c r="H1025" s="8" t="n">
        <x:v>8</x:v>
      </x:c>
      <x:c r="I1025" s="8" t="n">
        <x:v>5</x:v>
      </x:c>
      <x:c r="J1025" s="8" t="n">
        <x:v>8</x:v>
      </x:c>
      <x:c r="K1025" s="8" t="str">
        <x:v>unverified-denominator</x:v>
      </x:c>
      <x:c r="L1025" s="8" t="d">
        <x:v>2026-09-16T05:12:38.111Z</x:v>
      </x:c>
      <x:c r="M1025" s="8" t="str">
        <x:v>https://apm.activecommunities.com/portlandparks/Activity_Search/printmaking---etching-beginning/207554?locale=en-US</x:v>
      </x:c>
    </x:row>
    <x:row r="1026" ht="38" customHeight="1">
      <x:c r="A1026" s="7" t="str">
        <x:v>207915</x:v>
      </x:c>
      <x:c r="B1026" s="12" t="str">
        <x:v>Printmaking - Gelli Lab: Mono Printing, Next Steps</x:v>
      </x:c>
      <x:c r="C1026" s="12" t="str">
        <x:v>Woodstock Cmty Ctr</x:v>
      </x:c>
      <x:c r="D1026" s="12" t="str">
        <x:v>Arts &amp; Crafts - Glass/Photo/Print &amp; Wood</x:v>
      </x:c>
      <x:c r="E1026" s="7" t="str">
        <x:v>future</x:v>
      </x:c>
      <x:c r="F1026" s="7" t="str">
        <x:v>2026-11-06</x:v>
      </x:c>
      <x:c r="G1026" s="7" t="str">
        <x:v>2026-12-11</x:v>
      </x:c>
      <x:c r="H1026" s="7" t="n">
        <x:v>0</x:v>
      </x:c>
      <x:c r="I1026" s="7"/>
      <x:c r="J1026" s="7" t="n">
        <x:v>12</x:v>
      </x:c>
      <x:c r="K1026" s="7" t="str">
        <x:v>unverified-denominator</x:v>
      </x:c>
      <x:c r="L1026" s="7" t="d">
        <x:v>2026-09-16T05:12:38.111Z</x:v>
      </x:c>
      <x:c r="M1026" s="7" t="str">
        <x:v>https://apm.activecommunities.com/portlandparks/Activity_Search/printmaking---gelli-lab-mono-printing-next-steps/207915?locale=en-US</x:v>
      </x:c>
    </x:row>
    <x:row r="1027" ht="38" customHeight="1">
      <x:c r="A1027" s="8" t="str">
        <x:v>207678</x:v>
      </x:c>
      <x:c r="B1027" s="11" t="str">
        <x:v>Printmaking - Gelli Lab: Mono Printing, Next Steps</x:v>
      </x:c>
      <x:c r="C1027" s="11" t="str">
        <x:v>Woodstock Cmty Ctr</x:v>
      </x:c>
      <x:c r="D1027" s="11" t="str">
        <x:v>Arts &amp; Crafts - Glass/Photo/Print &amp; Wood</x:v>
      </x:c>
      <x:c r="E1027" s="8" t="str">
        <x:v>future</x:v>
      </x:c>
      <x:c r="F1027" s="8" t="str">
        <x:v>2026-10-02</x:v>
      </x:c>
      <x:c r="G1027" s="8" t="str">
        <x:v>2026-10-30</x:v>
      </x:c>
      <x:c r="H1027" s="8" t="n">
        <x:v>3</x:v>
      </x:c>
      <x:c r="I1027" s="8"/>
      <x:c r="J1027" s="8" t="n">
        <x:v>12</x:v>
      </x:c>
      <x:c r="K1027" s="8" t="str">
        <x:v>unverified-denominator</x:v>
      </x:c>
      <x:c r="L1027" s="8" t="d">
        <x:v>2026-09-16T05:12:38.111Z</x:v>
      </x:c>
      <x:c r="M1027" s="8" t="str">
        <x:v>https://apm.activecommunities.com/portlandparks/Activity_Search/printmaking---gelli-lab-mono-printing-next-steps/207678?locale=en-US</x:v>
      </x:c>
    </x:row>
    <x:row r="1028" ht="38" customHeight="1">
      <x:c r="A1028" s="7" t="str">
        <x:v>204695</x:v>
      </x:c>
      <x:c r="B1028" s="12" t="str">
        <x:v>Printmaking - Gelli Lab: Mono Printing, Next Steps</x:v>
      </x:c>
      <x:c r="C1028" s="12" t="str">
        <x:v>Woodstock Cmty Ctr</x:v>
      </x:c>
      <x:c r="D1028" s="12" t="str">
        <x:v>Arts &amp; Crafts - Glass/Photo/Print &amp; Wood</x:v>
      </x:c>
      <x:c r="E1028" s="7" t="str">
        <x:v>active</x:v>
      </x:c>
      <x:c r="F1028" s="7" t="str">
        <x:v>2026-09-04</x:v>
      </x:c>
      <x:c r="G1028" s="7" t="str">
        <x:v>2026-09-25</x:v>
      </x:c>
      <x:c r="H1028" s="7" t="n">
        <x:v>6</x:v>
      </x:c>
      <x:c r="I1028" s="7"/>
      <x:c r="J1028" s="7" t="n">
        <x:v>12</x:v>
      </x:c>
      <x:c r="K1028" s="7" t="str">
        <x:v>unverified-denominator</x:v>
      </x:c>
      <x:c r="L1028" s="7" t="d">
        <x:v>2026-09-16T05:12:38.111Z</x:v>
      </x:c>
      <x:c r="M1028" s="7" t="str">
        <x:v>https://apm.activecommunities.com/portlandparks/Activity_Search/printmaking---gelli-lab-mono-printing-next-steps/204695?locale=en-US</x:v>
      </x:c>
    </x:row>
    <x:row r="1029" ht="38" customHeight="1">
      <x:c r="A1029" s="8" t="str">
        <x:v>207555</x:v>
      </x:c>
      <x:c r="B1029" s="11" t="str">
        <x:v>Printmaking - Mokuhanga : Japanese Woodblock</x:v>
      </x:c>
      <x:c r="C1029" s="11" t="str">
        <x:v>Multnomah Arts Ctr</x:v>
      </x:c>
      <x:c r="D1029" s="11" t="str">
        <x:v>Arts &amp; Crafts - Glass/Photo/Print &amp; Wood</x:v>
      </x:c>
      <x:c r="E1029" s="8" t="str">
        <x:v>future</x:v>
      </x:c>
      <x:c r="F1029" s="8" t="str">
        <x:v>2026-12-14</x:v>
      </x:c>
      <x:c r="G1029" s="8" t="str">
        <x:v>2026-12-18</x:v>
      </x:c>
      <x:c r="H1029" s="8" t="n">
        <x:v>0</x:v>
      </x:c>
      <x:c r="I1029" s="8"/>
      <x:c r="J1029" s="8" t="n">
        <x:v>8</x:v>
      </x:c>
      <x:c r="K1029" s="8" t="str">
        <x:v>unverified-denominator</x:v>
      </x:c>
      <x:c r="L1029" s="8" t="d">
        <x:v>2026-09-16T05:12:38.111Z</x:v>
      </x:c>
      <x:c r="M1029" s="8" t="str">
        <x:v>https://apm.activecommunities.com/portlandparks/Activity_Search/printmaking---mokuhanga-japanese-woodblock/207555?locale=en-US</x:v>
      </x:c>
    </x:row>
    <x:row r="1030" ht="38" customHeight="1">
      <x:c r="A1030" s="7" t="str">
        <x:v>208866</x:v>
      </x:c>
      <x:c r="B1030" s="12" t="str">
        <x:v>Printmaking - Monotype: Mark-Making with Oil Based Inks</x:v>
      </x:c>
      <x:c r="C1030" s="12" t="str">
        <x:v>Multnomah Arts Ctr</x:v>
      </x:c>
      <x:c r="D1030" s="12" t="str">
        <x:v>Arts &amp; Crafts - Glass/Photo/Print &amp; Wood</x:v>
      </x:c>
      <x:c r="E1030" s="7" t="str">
        <x:v>future</x:v>
      </x:c>
      <x:c r="F1030" s="7" t="str">
        <x:v>2026-10-03</x:v>
      </x:c>
      <x:c r="G1030" s="7" t="str">
        <x:v>2026-10-24</x:v>
      </x:c>
      <x:c r="H1030" s="7" t="n">
        <x:v>8</x:v>
      </x:c>
      <x:c r="I1030" s="7" t="n">
        <x:v>1</x:v>
      </x:c>
      <x:c r="J1030" s="7" t="n">
        <x:v>8</x:v>
      </x:c>
      <x:c r="K1030" s="7" t="str">
        <x:v>unverified-denominator</x:v>
      </x:c>
      <x:c r="L1030" s="7" t="d">
        <x:v>2026-09-16T05:12:38.111Z</x:v>
      </x:c>
      <x:c r="M1030" s="7" t="str">
        <x:v>https://apm.activecommunities.com/portlandparks/Activity_Search/printmaking---monotype-mark-making-with-oil-based-inks/208866?locale=en-US</x:v>
      </x:c>
    </x:row>
    <x:row r="1031" ht="38" customHeight="1">
      <x:c r="A1031" s="8" t="str">
        <x:v>207553</x:v>
      </x:c>
      <x:c r="B1031" s="11" t="str">
        <x:v>Printmaking - Monotype: The Painterly Print</x:v>
      </x:c>
      <x:c r="C1031" s="11" t="str">
        <x:v>Multnomah Arts Ctr</x:v>
      </x:c>
      <x:c r="D1031" s="11" t="str">
        <x:v>Arts &amp; Crafts - Glass/Photo/Print &amp; Wood</x:v>
      </x:c>
      <x:c r="E1031" s="8" t="str">
        <x:v>future</x:v>
      </x:c>
      <x:c r="F1031" s="8" t="str">
        <x:v>2026-09-29</x:v>
      </x:c>
      <x:c r="G1031" s="8" t="str">
        <x:v>2026-12-01</x:v>
      </x:c>
      <x:c r="H1031" s="8" t="n">
        <x:v>8</x:v>
      </x:c>
      <x:c r="I1031" s="8" t="n">
        <x:v>2</x:v>
      </x:c>
      <x:c r="J1031" s="8" t="n">
        <x:v>8</x:v>
      </x:c>
      <x:c r="K1031" s="8" t="str">
        <x:v>unverified-denominator</x:v>
      </x:c>
      <x:c r="L1031" s="8" t="d">
        <x:v>2026-09-16T05:12:38.111Z</x:v>
      </x:c>
      <x:c r="M1031" s="8" t="str">
        <x:v>https://apm.activecommunities.com/portlandparks/Activity_Search/printmaking---monotype-the-painterly-print/207553?locale=en-US</x:v>
      </x:c>
    </x:row>
    <x:row r="1032" ht="38" customHeight="1">
      <x:c r="A1032" s="7" t="str">
        <x:v>208017</x:v>
      </x:c>
      <x:c r="B1032" s="12" t="str">
        <x:v>Printmaking - Screenprinting Basics</x:v>
      </x:c>
      <x:c r="C1032" s="12" t="str">
        <x:v>Multnomah Arts Ctr</x:v>
      </x:c>
      <x:c r="D1032" s="12" t="str">
        <x:v>Arts &amp; Crafts - Glass/Photo/Print &amp; Wood</x:v>
      </x:c>
      <x:c r="E1032" s="7" t="str">
        <x:v>future</x:v>
      </x:c>
      <x:c r="F1032" s="7" t="str">
        <x:v>2026-11-18</x:v>
      </x:c>
      <x:c r="G1032" s="7" t="str">
        <x:v>2026-12-16</x:v>
      </x:c>
      <x:c r="H1032" s="7" t="n">
        <x:v>0</x:v>
      </x:c>
      <x:c r="I1032" s="7"/>
      <x:c r="J1032" s="7" t="n">
        <x:v>8</x:v>
      </x:c>
      <x:c r="K1032" s="7" t="str">
        <x:v>unverified-denominator</x:v>
      </x:c>
      <x:c r="L1032" s="7" t="d">
        <x:v>2026-09-16T05:12:38.111Z</x:v>
      </x:c>
      <x:c r="M1032" s="7" t="str">
        <x:v>https://apm.activecommunities.com/portlandparks/Activity_Search/printmaking---screenprinting-basics/208017?locale=en-US</x:v>
      </x:c>
    </x:row>
    <x:row r="1033" ht="38" customHeight="1">
      <x:c r="A1033" s="8" t="str">
        <x:v>207556</x:v>
      </x:c>
      <x:c r="B1033" s="11" t="str">
        <x:v>Printmaking - Survey</x:v>
      </x:c>
      <x:c r="C1033" s="11" t="str">
        <x:v>Multnomah Arts Ctr</x:v>
      </x:c>
      <x:c r="D1033" s="11" t="str">
        <x:v>Arts &amp; Crafts - Glass/Photo/Print &amp; Wood</x:v>
      </x:c>
      <x:c r="E1033" s="8" t="str">
        <x:v>future</x:v>
      </x:c>
      <x:c r="F1033" s="8" t="str">
        <x:v>2026-10-03</x:v>
      </x:c>
      <x:c r="G1033" s="8" t="str">
        <x:v>2026-12-12</x:v>
      </x:c>
      <x:c r="H1033" s="8" t="n">
        <x:v>8</x:v>
      </x:c>
      <x:c r="I1033" s="8" t="n">
        <x:v>10</x:v>
      </x:c>
      <x:c r="J1033" s="8" t="n">
        <x:v>8</x:v>
      </x:c>
      <x:c r="K1033" s="8" t="str">
        <x:v>unverified-denominator</x:v>
      </x:c>
      <x:c r="L1033" s="8" t="d">
        <x:v>2026-09-16T05:12:38.111Z</x:v>
      </x:c>
      <x:c r="M1033" s="8" t="str">
        <x:v>https://apm.activecommunities.com/portlandparks/Activity_Search/printmaking---survey/207556?locale=en-US</x:v>
      </x:c>
    </x:row>
    <x:row r="1034" ht="38" customHeight="1">
      <x:c r="A1034" s="7" t="str">
        <x:v>207956</x:v>
      </x:c>
      <x:c r="B1034" s="12" t="str">
        <x:v>Saturday Youth Volleyball (Grades 3-HS) 12+ Players</x:v>
      </x:c>
      <x:c r="C1034" s="12" t="str">
        <x:v>N/A</x:v>
      </x:c>
      <x:c r="D1034" s="12" t="str">
        <x:v>Sports - Volleyball</x:v>
      </x:c>
      <x:c r="E1034" s="7" t="str">
        <x:v>future</x:v>
      </x:c>
      <x:c r="F1034" s="7" t="str">
        <x:v>2026-09-19</x:v>
      </x:c>
      <x:c r="G1034" s="7" t="str">
        <x:v>2026-10-17</x:v>
      </x:c>
      <x:c r="H1034" s="7" t="n">
        <x:v>3</x:v>
      </x:c>
      <x:c r="I1034" s="7"/>
      <x:c r="J1034" s="7" t="n">
        <x:v>-1</x:v>
      </x:c>
      <x:c r="K1034" s="7" t="str">
        <x:v>unverified-denominator</x:v>
      </x:c>
      <x:c r="L1034" s="7" t="d">
        <x:v>2026-09-16T05:12:38.111Z</x:v>
      </x:c>
      <x:c r="M1034" s="7" t="str">
        <x:v>https://apm.activecommunities.com/portlandparks/Activity_Search/saturday-youth-volleyball-grades-3-hs-12-players/207956?locale=en-US</x:v>
      </x:c>
    </x:row>
    <x:row r="1035" ht="38" customHeight="1">
      <x:c r="A1035" s="8" t="str">
        <x:v>207953</x:v>
      </x:c>
      <x:c r="B1035" s="11" t="str">
        <x:v>Saturday Youth Volleyball (Grades 3-HS) 4-5 players</x:v>
      </x:c>
      <x:c r="C1035" s="11" t="str">
        <x:v>N/A</x:v>
      </x:c>
      <x:c r="D1035" s="11" t="str">
        <x:v>Sports - Volleyball</x:v>
      </x:c>
      <x:c r="E1035" s="8" t="str">
        <x:v>future</x:v>
      </x:c>
      <x:c r="F1035" s="8" t="str">
        <x:v>2026-09-19</x:v>
      </x:c>
      <x:c r="G1035" s="8" t="str">
        <x:v>2026-10-17</x:v>
      </x:c>
      <x:c r="H1035" s="8" t="n">
        <x:v>1</x:v>
      </x:c>
      <x:c r="I1035" s="8"/>
      <x:c r="J1035" s="8" t="n">
        <x:v>-1</x:v>
      </x:c>
      <x:c r="K1035" s="8" t="str">
        <x:v>unverified-denominator</x:v>
      </x:c>
      <x:c r="L1035" s="8" t="d">
        <x:v>2026-09-16T05:12:38.111Z</x:v>
      </x:c>
      <x:c r="M1035" s="8" t="str">
        <x:v>https://apm.activecommunities.com/portlandparks/Activity_Search/saturday-youth-volleyball-grades-3-hs-4-5-players/207953?locale=en-US</x:v>
      </x:c>
    </x:row>
    <x:row r="1036" ht="38" customHeight="1">
      <x:c r="A1036" s="7" t="str">
        <x:v>207954</x:v>
      </x:c>
      <x:c r="B1036" s="12" t="str">
        <x:v>Saturday Youth Volleyball (Grades 3-HS) 6-8 Players</x:v>
      </x:c>
      <x:c r="C1036" s="12" t="str">
        <x:v>N/A</x:v>
      </x:c>
      <x:c r="D1036" s="12" t="str">
        <x:v>Sports - Volleyball</x:v>
      </x:c>
      <x:c r="E1036" s="7" t="str">
        <x:v>future</x:v>
      </x:c>
      <x:c r="F1036" s="7" t="str">
        <x:v>2026-09-19</x:v>
      </x:c>
      <x:c r="G1036" s="7" t="str">
        <x:v>2026-10-17</x:v>
      </x:c>
      <x:c r="H1036" s="7" t="n">
        <x:v>5</x:v>
      </x:c>
      <x:c r="I1036" s="7"/>
      <x:c r="J1036" s="7" t="n">
        <x:v>-1</x:v>
      </x:c>
      <x:c r="K1036" s="7" t="str">
        <x:v>unverified-denominator</x:v>
      </x:c>
      <x:c r="L1036" s="7" t="d">
        <x:v>2026-09-16T05:12:38.111Z</x:v>
      </x:c>
      <x:c r="M1036" s="7" t="str">
        <x:v>https://apm.activecommunities.com/portlandparks/Activity_Search/saturday-youth-volleyball-grades-3-hs-6-8-players/207954?locale=en-US</x:v>
      </x:c>
    </x:row>
    <x:row r="1037" ht="38" customHeight="1">
      <x:c r="A1037" s="8" t="str">
        <x:v>207955</x:v>
      </x:c>
      <x:c r="B1037" s="11" t="str">
        <x:v>Saturday Youth Volleyball (Grades 4-HS) 9-11 players</x:v>
      </x:c>
      <x:c r="C1037" s="11" t="str">
        <x:v>N/A</x:v>
      </x:c>
      <x:c r="D1037" s="11" t="str">
        <x:v>Sports - Volleyball</x:v>
      </x:c>
      <x:c r="E1037" s="8" t="str">
        <x:v>future</x:v>
      </x:c>
      <x:c r="F1037" s="8" t="str">
        <x:v>2026-09-19</x:v>
      </x:c>
      <x:c r="G1037" s="8" t="str">
        <x:v>2026-10-17</x:v>
      </x:c>
      <x:c r="H1037" s="8" t="n">
        <x:v>4</x:v>
      </x:c>
      <x:c r="I1037" s="8"/>
      <x:c r="J1037" s="8" t="n">
        <x:v>-1</x:v>
      </x:c>
      <x:c r="K1037" s="8" t="str">
        <x:v>unverified-denominator</x:v>
      </x:c>
      <x:c r="L1037" s="8" t="d">
        <x:v>2026-09-16T05:12:38.111Z</x:v>
      </x:c>
      <x:c r="M1037" s="8" t="str">
        <x:v>https://apm.activecommunities.com/portlandparks/Activity_Search/saturday-youth-volleyball-grades-4-hs-9-11-players/207955?locale=en-US</x:v>
      </x:c>
    </x:row>
    <x:row r="1038" ht="38" customHeight="1">
      <x:c r="A1038" s="7" t="str">
        <x:v>208903</x:v>
      </x:c>
      <x:c r="B1038" s="12" t="str">
        <x:v>Science - Explorer: Egineering</x:v>
      </x:c>
      <x:c r="C1038" s="12" t="str">
        <x:v>Mt Scott Cmty Ctr</x:v>
      </x:c>
      <x:c r="D1038" s="12" t="str">
        <x:v>Science &amp; Nature</x:v>
      </x:c>
      <x:c r="E1038" s="7" t="str">
        <x:v>future</x:v>
      </x:c>
      <x:c r="F1038" s="7" t="str">
        <x:v>2026-10-11</x:v>
      </x:c>
      <x:c r="G1038" s="7" t="str">
        <x:v>2026-11-01</x:v>
      </x:c>
      <x:c r="H1038" s="7" t="n">
        <x:v>11</x:v>
      </x:c>
      <x:c r="I1038" s="7"/>
      <x:c r="J1038" s="7" t="n">
        <x:v>12</x:v>
      </x:c>
      <x:c r="K1038" s="7" t="str">
        <x:v>unverified-denominator</x:v>
      </x:c>
      <x:c r="L1038" s="7" t="d">
        <x:v>2026-09-16T05:12:38.111Z</x:v>
      </x:c>
      <x:c r="M1038" s="7" t="str">
        <x:v>https://apm.activecommunities.com/portlandparks/Activity_Search/science---explorer-egineering/208903?locale=en-US</x:v>
      </x:c>
    </x:row>
    <x:row r="1039" ht="38" customHeight="1">
      <x:c r="A1039" s="8" t="str">
        <x:v>208904</x:v>
      </x:c>
      <x:c r="B1039" s="11" t="str">
        <x:v>Science - Explorer: Egineering</x:v>
      </x:c>
      <x:c r="C1039" s="11" t="str">
        <x:v>Mt Scott Cmty Ctr</x:v>
      </x:c>
      <x:c r="D1039" s="11" t="str">
        <x:v>Science &amp; Nature</x:v>
      </x:c>
      <x:c r="E1039" s="8" t="str">
        <x:v>future</x:v>
      </x:c>
      <x:c r="F1039" s="8" t="str">
        <x:v>2026-11-08</x:v>
      </x:c>
      <x:c r="G1039" s="8" t="str">
        <x:v>2026-12-13</x:v>
      </x:c>
      <x:c r="H1039" s="8" t="n">
        <x:v>0</x:v>
      </x:c>
      <x:c r="I1039" s="8"/>
      <x:c r="J1039" s="8" t="n">
        <x:v>12</x:v>
      </x:c>
      <x:c r="K1039" s="8" t="str">
        <x:v>unverified-denominator</x:v>
      </x:c>
      <x:c r="L1039" s="8" t="d">
        <x:v>2026-09-16T05:12:38.111Z</x:v>
      </x:c>
      <x:c r="M1039" s="8" t="str">
        <x:v>https://apm.activecommunities.com/portlandparks/Activity_Search/science---explorer-egineering/208904?locale=en-US</x:v>
      </x:c>
    </x:row>
    <x:row r="1040" ht="38" customHeight="1">
      <x:c r="A1040" s="7" t="str">
        <x:v>208873</x:v>
      </x:c>
      <x:c r="B1040" s="12" t="str">
        <x:v>Science - Explorer: Life Science</x:v>
      </x:c>
      <x:c r="C1040" s="12" t="str">
        <x:v>Mt Scott Cmty Ctr</x:v>
      </x:c>
      <x:c r="D1040" s="12" t="str">
        <x:v>Science &amp; Nature</x:v>
      </x:c>
      <x:c r="E1040" s="7" t="str">
        <x:v>future</x:v>
      </x:c>
      <x:c r="F1040" s="7" t="str">
        <x:v>2026-11-08</x:v>
      </x:c>
      <x:c r="G1040" s="7" t="str">
        <x:v>2026-12-13</x:v>
      </x:c>
      <x:c r="H1040" s="7" t="n">
        <x:v>0</x:v>
      </x:c>
      <x:c r="I1040" s="7"/>
      <x:c r="J1040" s="7" t="n">
        <x:v>12</x:v>
      </x:c>
      <x:c r="K1040" s="7" t="str">
        <x:v>unverified-denominator</x:v>
      </x:c>
      <x:c r="L1040" s="7" t="d">
        <x:v>2026-09-16T05:12:38.111Z</x:v>
      </x:c>
      <x:c r="M1040" s="7" t="str">
        <x:v>https://apm.activecommunities.com/portlandparks/Activity_Search/science---explorer-life-science/208873?locale=en-US</x:v>
      </x:c>
    </x:row>
    <x:row r="1041" ht="38" customHeight="1">
      <x:c r="A1041" s="8" t="str">
        <x:v>208872</x:v>
      </x:c>
      <x:c r="B1041" s="11" t="str">
        <x:v>Science - Explorer: Lil Chemists</x:v>
      </x:c>
      <x:c r="C1041" s="11" t="str">
        <x:v>Mt Scott Cmty Ctr</x:v>
      </x:c>
      <x:c r="D1041" s="11" t="str">
        <x:v>Science &amp; Nature</x:v>
      </x:c>
      <x:c r="E1041" s="8" t="str">
        <x:v>future</x:v>
      </x:c>
      <x:c r="F1041" s="8" t="str">
        <x:v>2026-10-11</x:v>
      </x:c>
      <x:c r="G1041" s="8" t="str">
        <x:v>2026-11-01</x:v>
      </x:c>
      <x:c r="H1041" s="8" t="n">
        <x:v>12</x:v>
      </x:c>
      <x:c r="I1041" s="8"/>
      <x:c r="J1041" s="8" t="n">
        <x:v>12</x:v>
      </x:c>
      <x:c r="K1041" s="8" t="str">
        <x:v>unverified-denominator</x:v>
      </x:c>
      <x:c r="L1041" s="8" t="d">
        <x:v>2026-09-16T05:12:38.111Z</x:v>
      </x:c>
      <x:c r="M1041" s="8" t="str">
        <x:v>https://apm.activecommunities.com/portlandparks/Activity_Search/science---explorer-lil-chemists/208872?locale=en-US</x:v>
      </x:c>
    </x:row>
    <x:row r="1042" ht="38" customHeight="1">
      <x:c r="A1042" s="7" t="str">
        <x:v>207819</x:v>
      </x:c>
      <x:c r="B1042" s="12" t="str">
        <x:v>Science - Explorers</x:v>
      </x:c>
      <x:c r="C1042" s="12" t="str">
        <x:v>East Portland Cmty Ctr</x:v>
      </x:c>
      <x:c r="D1042" s="12" t="str">
        <x:v>Science &amp; Nature</x:v>
      </x:c>
      <x:c r="E1042" s="7" t="str">
        <x:v>future</x:v>
      </x:c>
      <x:c r="F1042" s="7" t="str">
        <x:v>2026-10-01</x:v>
      </x:c>
      <x:c r="G1042" s="7" t="str">
        <x:v>2026-10-15</x:v>
      </x:c>
      <x:c r="H1042" s="7" t="n">
        <x:v>6</x:v>
      </x:c>
      <x:c r="I1042" s="7"/>
      <x:c r="J1042" s="7" t="n">
        <x:v>10</x:v>
      </x:c>
      <x:c r="K1042" s="7" t="str">
        <x:v>unverified-denominator</x:v>
      </x:c>
      <x:c r="L1042" s="7" t="d">
        <x:v>2026-09-16T05:12:38.111Z</x:v>
      </x:c>
      <x:c r="M1042" s="7" t="str">
        <x:v>https://apm.activecommunities.com/portlandparks/Activity_Search/science---explorers/207819?locale=en-US</x:v>
      </x:c>
    </x:row>
    <x:row r="1043" ht="38" customHeight="1">
      <x:c r="A1043" s="8" t="str">
        <x:v>207820</x:v>
      </x:c>
      <x:c r="B1043" s="11" t="str">
        <x:v>Science - Explorers</x:v>
      </x:c>
      <x:c r="C1043" s="11" t="str">
        <x:v>East Portland Cmty Ctr</x:v>
      </x:c>
      <x:c r="D1043" s="11" t="str">
        <x:v>Science &amp; Nature</x:v>
      </x:c>
      <x:c r="E1043" s="8" t="str">
        <x:v>future</x:v>
      </x:c>
      <x:c r="F1043" s="8" t="str">
        <x:v>2026-11-12</x:v>
      </x:c>
      <x:c r="G1043" s="8" t="str">
        <x:v>2026-12-10</x:v>
      </x:c>
      <x:c r="H1043" s="8" t="n">
        <x:v>0</x:v>
      </x:c>
      <x:c r="I1043" s="8"/>
      <x:c r="J1043" s="8" t="n">
        <x:v>10</x:v>
      </x:c>
      <x:c r="K1043" s="8" t="str">
        <x:v>unverified-denominator</x:v>
      </x:c>
      <x:c r="L1043" s="8" t="d">
        <x:v>2026-09-16T05:12:38.111Z</x:v>
      </x:c>
      <x:c r="M1043" s="8" t="str">
        <x:v>https://apm.activecommunities.com/portlandparks/Activity_Search/science---explorers/207820?locale=en-US</x:v>
      </x:c>
    </x:row>
    <x:row r="1044" ht="38" customHeight="1">
      <x:c r="A1044" s="7" t="str">
        <x:v>201960</x:v>
      </x:c>
      <x:c r="B1044" s="12" t="str">
        <x:v>Science Explorers - Ooey Gooey Science</x:v>
      </x:c>
      <x:c r="C1044" s="12" t="str">
        <x:v>Peninsula Park Cmty Ctr</x:v>
      </x:c>
      <x:c r="D1044" s="12" t="str">
        <x:v>Science &amp; Nature</x:v>
      </x:c>
      <x:c r="E1044" s="7" t="str">
        <x:v>active</x:v>
      </x:c>
      <x:c r="F1044" s="7" t="str">
        <x:v>2026-09-03</x:v>
      </x:c>
      <x:c r="G1044" s="7" t="str">
        <x:v>2026-09-24</x:v>
      </x:c>
      <x:c r="H1044" s="7" t="n">
        <x:v>9</x:v>
      </x:c>
      <x:c r="I1044" s="7"/>
      <x:c r="J1044" s="7" t="n">
        <x:v>10</x:v>
      </x:c>
      <x:c r="K1044" s="7" t="str">
        <x:v>unverified-denominator</x:v>
      </x:c>
      <x:c r="L1044" s="7" t="d">
        <x:v>2026-09-16T05:12:38.111Z</x:v>
      </x:c>
      <x:c r="M1044" s="7" t="str">
        <x:v>https://apm.activecommunities.com/portlandparks/Activity_Search/science-explorers---ooey-gooey-science/201960?locale=en-US</x:v>
      </x:c>
    </x:row>
    <x:row r="1045" ht="38" customHeight="1">
      <x:c r="A1045" s="8" t="str">
        <x:v>202476</x:v>
      </x:c>
      <x:c r="B1045" s="11" t="str">
        <x:v>Sewing - Beginner</x:v>
      </x:c>
      <x:c r="C1045" s="11" t="str">
        <x:v>Charles Jordan Cmty Ctr</x:v>
      </x:c>
      <x:c r="D1045" s="11" t="str">
        <x:v>Arts &amp; Crafts - Fiber &amp; Handcrafts</x:v>
      </x:c>
      <x:c r="E1045" s="8" t="str">
        <x:v>active</x:v>
      </x:c>
      <x:c r="F1045" s="8" t="str">
        <x:v>2026-09-01</x:v>
      </x:c>
      <x:c r="G1045" s="8" t="str">
        <x:v>2026-09-22</x:v>
      </x:c>
      <x:c r="H1045" s="8" t="n">
        <x:v>4</x:v>
      </x:c>
      <x:c r="I1045" s="8" t="n">
        <x:v>7</x:v>
      </x:c>
      <x:c r="J1045" s="8" t="n">
        <x:v>6</x:v>
      </x:c>
      <x:c r="K1045" s="8" t="str">
        <x:v>unverified-denominator</x:v>
      </x:c>
      <x:c r="L1045" s="8" t="d">
        <x:v>2026-09-16T05:12:38.111Z</x:v>
      </x:c>
      <x:c r="M1045" s="8" t="str">
        <x:v>https://apm.activecommunities.com/portlandparks/Activity_Search/sewing---beginner/202476?locale=en-US</x:v>
      </x:c>
    </x:row>
    <x:row r="1046" ht="38" customHeight="1">
      <x:c r="A1046" s="7" t="str">
        <x:v>208688</x:v>
      </x:c>
      <x:c r="B1046" s="12" t="str">
        <x:v>Sewing - Beginner</x:v>
      </x:c>
      <x:c r="C1046" s="12" t="str">
        <x:v>Charles Jordan Cmty Ctr</x:v>
      </x:c>
      <x:c r="D1046" s="12" t="str">
        <x:v>Arts &amp; Crafts - Fiber &amp; Handcrafts</x:v>
      </x:c>
      <x:c r="E1046" s="7" t="str">
        <x:v>future</x:v>
      </x:c>
      <x:c r="F1046" s="7" t="str">
        <x:v>2026-09-29</x:v>
      </x:c>
      <x:c r="G1046" s="7" t="str">
        <x:v>2026-10-27</x:v>
      </x:c>
      <x:c r="H1046" s="7" t="n">
        <x:v>6</x:v>
      </x:c>
      <x:c r="I1046" s="7" t="n">
        <x:v>3</x:v>
      </x:c>
      <x:c r="J1046" s="7" t="n">
        <x:v>6</x:v>
      </x:c>
      <x:c r="K1046" s="7" t="str">
        <x:v>unverified-denominator</x:v>
      </x:c>
      <x:c r="L1046" s="7" t="d">
        <x:v>2026-09-16T05:12:38.111Z</x:v>
      </x:c>
      <x:c r="M1046" s="7" t="str">
        <x:v>https://apm.activecommunities.com/portlandparks/Activity_Search/sewing---beginner/208688?locale=en-US</x:v>
      </x:c>
    </x:row>
    <x:row r="1047" ht="38" customHeight="1">
      <x:c r="A1047" s="8" t="str">
        <x:v>208878</x:v>
      </x:c>
      <x:c r="B1047" s="11" t="str">
        <x:v>Sewing - Beginner</x:v>
      </x:c>
      <x:c r="C1047" s="11" t="str">
        <x:v>Charles Jordan Cmty Ctr</x:v>
      </x:c>
      <x:c r="D1047" s="11" t="str">
        <x:v>Arts &amp; Crafts - Fiber &amp; Handcrafts</x:v>
      </x:c>
      <x:c r="E1047" s="8" t="str">
        <x:v>future</x:v>
      </x:c>
      <x:c r="F1047" s="8" t="str">
        <x:v>2026-11-03</x:v>
      </x:c>
      <x:c r="G1047" s="8" t="str">
        <x:v>2026-12-01</x:v>
      </x:c>
      <x:c r="H1047" s="8" t="n">
        <x:v>0</x:v>
      </x:c>
      <x:c r="I1047" s="8"/>
      <x:c r="J1047" s="8" t="n">
        <x:v>6</x:v>
      </x:c>
      <x:c r="K1047" s="8" t="str">
        <x:v>unverified-denominator</x:v>
      </x:c>
      <x:c r="L1047" s="8" t="d">
        <x:v>2026-09-16T05:12:38.111Z</x:v>
      </x:c>
      <x:c r="M1047" s="8" t="str">
        <x:v>https://apm.activecommunities.com/portlandparks/Activity_Search/sewing---beginner/208878?locale=en-US</x:v>
      </x:c>
    </x:row>
    <x:row r="1048" ht="38" customHeight="1">
      <x:c r="A1048" s="7" t="str">
        <x:v>208870</x:v>
      </x:c>
      <x:c r="B1048" s="12" t="str">
        <x:v>Sewing - Intro to Hand Sewing</x:v>
      </x:c>
      <x:c r="C1048" s="12" t="str">
        <x:v>Mt Scott Cmty Ctr</x:v>
      </x:c>
      <x:c r="D1048" s="12" t="str">
        <x:v>Arts &amp; Crafts - Variety</x:v>
      </x:c>
      <x:c r="E1048" s="7" t="str">
        <x:v>future</x:v>
      </x:c>
      <x:c r="F1048" s="7" t="str">
        <x:v>2026-10-10</x:v>
      </x:c>
      <x:c r="G1048" s="7" t="str">
        <x:v>2026-10-31</x:v>
      </x:c>
      <x:c r="H1048" s="7" t="n">
        <x:v>8</x:v>
      </x:c>
      <x:c r="I1048" s="7" t="n">
        <x:v>2</x:v>
      </x:c>
      <x:c r="J1048" s="7" t="n">
        <x:v>8</x:v>
      </x:c>
      <x:c r="K1048" s="7" t="str">
        <x:v>unverified-denominator</x:v>
      </x:c>
      <x:c r="L1048" s="7" t="d">
        <x:v>2026-09-16T05:12:38.111Z</x:v>
      </x:c>
      <x:c r="M1048" s="7" t="str">
        <x:v>https://apm.activecommunities.com/portlandparks/Activity_Search/sewing---intro-to-hand-sewing/208870?locale=en-US</x:v>
      </x:c>
    </x:row>
    <x:row r="1049" ht="38" customHeight="1">
      <x:c r="A1049" s="8" t="str">
        <x:v>208871</x:v>
      </x:c>
      <x:c r="B1049" s="11" t="str">
        <x:v>Sewing - Intro to Hand Sewing</x:v>
      </x:c>
      <x:c r="C1049" s="11" t="str">
        <x:v>Mt Scott Cmty Ctr</x:v>
      </x:c>
      <x:c r="D1049" s="11" t="str">
        <x:v>Arts &amp; Crafts - Variety</x:v>
      </x:c>
      <x:c r="E1049" s="8" t="str">
        <x:v>future</x:v>
      </x:c>
      <x:c r="F1049" s="8" t="str">
        <x:v>2026-11-07</x:v>
      </x:c>
      <x:c r="G1049" s="8" t="str">
        <x:v>2026-12-12</x:v>
      </x:c>
      <x:c r="H1049" s="8" t="n">
        <x:v>0</x:v>
      </x:c>
      <x:c r="I1049" s="8"/>
      <x:c r="J1049" s="8" t="n">
        <x:v>8</x:v>
      </x:c>
      <x:c r="K1049" s="8" t="str">
        <x:v>unverified-denominator</x:v>
      </x:c>
      <x:c r="L1049" s="8" t="d">
        <x:v>2026-09-16T05:12:38.111Z</x:v>
      </x:c>
      <x:c r="M1049" s="8" t="str">
        <x:v>https://apm.activecommunities.com/portlandparks/Activity_Search/sewing---intro-to-hand-sewing/208871?locale=en-US</x:v>
      </x:c>
    </x:row>
    <x:row r="1050" ht="38" customHeight="1">
      <x:c r="A1050" s="7" t="str">
        <x:v>208417</x:v>
      </x:c>
      <x:c r="B1050" s="12" t="str">
        <x:v>Skateboarding - Flatground Basics</x:v>
      </x:c>
      <x:c r="C1050" s="12" t="str">
        <x:v>Southwest Cmty Ctr</x:v>
      </x:c>
      <x:c r="D1050" s="12" t="str">
        <x:v>Sports - Skate</x:v>
      </x:c>
      <x:c r="E1050" s="7" t="str">
        <x:v>future</x:v>
      </x:c>
      <x:c r="F1050" s="7" t="str">
        <x:v>2026-09-29</x:v>
      </x:c>
      <x:c r="G1050" s="7" t="str">
        <x:v>2026-10-27</x:v>
      </x:c>
      <x:c r="H1050" s="7" t="n">
        <x:v>8</x:v>
      </x:c>
      <x:c r="I1050" s="7" t="n">
        <x:v>2</x:v>
      </x:c>
      <x:c r="J1050" s="7" t="n">
        <x:v>8</x:v>
      </x:c>
      <x:c r="K1050" s="7" t="str">
        <x:v>unverified-denominator</x:v>
      </x:c>
      <x:c r="L1050" s="7" t="d">
        <x:v>2026-09-16T05:12:38.111Z</x:v>
      </x:c>
      <x:c r="M1050" s="7" t="str">
        <x:v>https://apm.activecommunities.com/portlandparks/Activity_Search/skateboarding---flatground-basics/208417?locale=en-US</x:v>
      </x:c>
    </x:row>
    <x:row r="1051" ht="38" customHeight="1">
      <x:c r="A1051" s="8" t="str">
        <x:v>208418</x:v>
      </x:c>
      <x:c r="B1051" s="11" t="str">
        <x:v>Skateboarding - Flatground Basics</x:v>
      </x:c>
      <x:c r="C1051" s="11" t="str">
        <x:v>Southwest Cmty Ctr</x:v>
      </x:c>
      <x:c r="D1051" s="11" t="str">
        <x:v>Sports - Skate</x:v>
      </x:c>
      <x:c r="E1051" s="8" t="str">
        <x:v>future</x:v>
      </x:c>
      <x:c r="F1051" s="8" t="str">
        <x:v>2026-10-01</x:v>
      </x:c>
      <x:c r="G1051" s="8" t="str">
        <x:v>2026-10-29</x:v>
      </x:c>
      <x:c r="H1051" s="8" t="n">
        <x:v>8</x:v>
      </x:c>
      <x:c r="I1051" s="8" t="n">
        <x:v>1</x:v>
      </x:c>
      <x:c r="J1051" s="8" t="n">
        <x:v>8</x:v>
      </x:c>
      <x:c r="K1051" s="8" t="str">
        <x:v>unverified-denominator</x:v>
      </x:c>
      <x:c r="L1051" s="8" t="d">
        <x:v>2026-09-16T05:12:38.111Z</x:v>
      </x:c>
      <x:c r="M1051" s="8" t="str">
        <x:v>https://apm.activecommunities.com/portlandparks/Activity_Search/skateboarding---flatground-basics/208418?locale=en-US</x:v>
      </x:c>
    </x:row>
    <x:row r="1052" ht="38" customHeight="1">
      <x:c r="A1052" s="7" t="str">
        <x:v>208419</x:v>
      </x:c>
      <x:c r="B1052" s="12" t="str">
        <x:v>Skateboarding - Flatground Basics</x:v>
      </x:c>
      <x:c r="C1052" s="12" t="str">
        <x:v>Southwest Cmty Ctr</x:v>
      </x:c>
      <x:c r="D1052" s="12" t="str">
        <x:v>Sports - Skate</x:v>
      </x:c>
      <x:c r="E1052" s="7" t="str">
        <x:v>future</x:v>
      </x:c>
      <x:c r="F1052" s="7" t="str">
        <x:v>2026-11-03</x:v>
      </x:c>
      <x:c r="G1052" s="7" t="str">
        <x:v>2026-12-01</x:v>
      </x:c>
      <x:c r="H1052" s="7" t="n">
        <x:v>0</x:v>
      </x:c>
      <x:c r="I1052" s="7"/>
      <x:c r="J1052" s="7" t="n">
        <x:v>8</x:v>
      </x:c>
      <x:c r="K1052" s="7" t="str">
        <x:v>unverified-denominator</x:v>
      </x:c>
      <x:c r="L1052" s="7" t="d">
        <x:v>2026-09-16T05:12:38.111Z</x:v>
      </x:c>
      <x:c r="M1052" s="7" t="str">
        <x:v>https://apm.activecommunities.com/portlandparks/Activity_Search/skateboarding---flatground-basics/208419?locale=en-US</x:v>
      </x:c>
    </x:row>
    <x:row r="1053" ht="38" customHeight="1">
      <x:c r="A1053" s="8" t="str">
        <x:v>208420</x:v>
      </x:c>
      <x:c r="B1053" s="11" t="str">
        <x:v>Skateboarding - Flatground Basics</x:v>
      </x:c>
      <x:c r="C1053" s="11" t="str">
        <x:v>Southwest Cmty Ctr</x:v>
      </x:c>
      <x:c r="D1053" s="11" t="str">
        <x:v>Sports - Skate</x:v>
      </x:c>
      <x:c r="E1053" s="8" t="str">
        <x:v>future</x:v>
      </x:c>
      <x:c r="F1053" s="8" t="str">
        <x:v>2026-11-12</x:v>
      </x:c>
      <x:c r="G1053" s="8" t="str">
        <x:v>2026-12-10</x:v>
      </x:c>
      <x:c r="H1053" s="8" t="n">
        <x:v>0</x:v>
      </x:c>
      <x:c r="I1053" s="8"/>
      <x:c r="J1053" s="8" t="n">
        <x:v>8</x:v>
      </x:c>
      <x:c r="K1053" s="8" t="str">
        <x:v>unverified-denominator</x:v>
      </x:c>
      <x:c r="L1053" s="8" t="d">
        <x:v>2026-09-16T05:12:38.111Z</x:v>
      </x:c>
      <x:c r="M1053" s="8" t="str">
        <x:v>https://apm.activecommunities.com/portlandparks/Activity_Search/skateboarding---flatground-basics/208420?locale=en-US</x:v>
      </x:c>
    </x:row>
    <x:row r="1054" ht="38" customHeight="1">
      <x:c r="A1054" s="7" t="str">
        <x:v>208779</x:v>
      </x:c>
      <x:c r="B1054" s="12" t="str">
        <x:v>Skateboarding - Flatground Basics</x:v>
      </x:c>
      <x:c r="C1054" s="12" t="str">
        <x:v>St Johns Cmty Ctr</x:v>
      </x:c>
      <x:c r="D1054" s="12" t="str">
        <x:v>Sports - Skate</x:v>
      </x:c>
      <x:c r="E1054" s="7" t="str">
        <x:v>future</x:v>
      </x:c>
      <x:c r="F1054" s="7" t="str">
        <x:v>2026-09-30</x:v>
      </x:c>
      <x:c r="G1054" s="7" t="str">
        <x:v>2026-10-28</x:v>
      </x:c>
      <x:c r="H1054" s="7" t="n">
        <x:v>10</x:v>
      </x:c>
      <x:c r="I1054" s="7"/>
      <x:c r="J1054" s="7" t="n">
        <x:v>10</x:v>
      </x:c>
      <x:c r="K1054" s="7" t="str">
        <x:v>unverified-denominator</x:v>
      </x:c>
      <x:c r="L1054" s="7" t="d">
        <x:v>2026-09-16T05:12:38.111Z</x:v>
      </x:c>
      <x:c r="M1054" s="7" t="str">
        <x:v>https://apm.activecommunities.com/portlandparks/Activity_Search/skateboarding---flatground-basics/208779?locale=en-US</x:v>
      </x:c>
    </x:row>
    <x:row r="1055" ht="38" customHeight="1">
      <x:c r="A1055" s="8" t="str">
        <x:v>208780</x:v>
      </x:c>
      <x:c r="B1055" s="11" t="str">
        <x:v>Skateboarding - Flatground Basics</x:v>
      </x:c>
      <x:c r="C1055" s="11" t="str">
        <x:v>St Johns Cmty Ctr</x:v>
      </x:c>
      <x:c r="D1055" s="11" t="str">
        <x:v>Sports - Skate</x:v>
      </x:c>
      <x:c r="E1055" s="8" t="str">
        <x:v>future</x:v>
      </x:c>
      <x:c r="F1055" s="8" t="str">
        <x:v>2026-11-04</x:v>
      </x:c>
      <x:c r="G1055" s="8" t="str">
        <x:v>2026-12-09</x:v>
      </x:c>
      <x:c r="H1055" s="8" t="n">
        <x:v>0</x:v>
      </x:c>
      <x:c r="I1055" s="8"/>
      <x:c r="J1055" s="8" t="n">
        <x:v>10</x:v>
      </x:c>
      <x:c r="K1055" s="8" t="str">
        <x:v>unverified-denominator</x:v>
      </x:c>
      <x:c r="L1055" s="8" t="d">
        <x:v>2026-09-16T05:12:38.111Z</x:v>
      </x:c>
      <x:c r="M1055" s="8" t="str">
        <x:v>https://apm.activecommunities.com/portlandparks/Activity_Search/skateboarding---flatground-basics/208780?locale=en-US</x:v>
      </x:c>
    </x:row>
    <x:row r="1056" ht="38" customHeight="1">
      <x:c r="A1056" s="7" t="str">
        <x:v>208421</x:v>
      </x:c>
      <x:c r="B1056" s="12" t="str">
        <x:v>Skateboarding - Intermediate</x:v>
      </x:c>
      <x:c r="C1056" s="12" t="str">
        <x:v>Southwest Cmty Ctr</x:v>
      </x:c>
      <x:c r="D1056" s="12" t="str">
        <x:v>Sports - Skate</x:v>
      </x:c>
      <x:c r="E1056" s="7" t="str">
        <x:v>future</x:v>
      </x:c>
      <x:c r="F1056" s="7" t="str">
        <x:v>2026-10-01</x:v>
      </x:c>
      <x:c r="G1056" s="7" t="str">
        <x:v>2026-10-29</x:v>
      </x:c>
      <x:c r="H1056" s="7" t="n">
        <x:v>5</x:v>
      </x:c>
      <x:c r="I1056" s="7"/>
      <x:c r="J1056" s="7" t="n">
        <x:v>8</x:v>
      </x:c>
      <x:c r="K1056" s="7" t="str">
        <x:v>unverified-denominator</x:v>
      </x:c>
      <x:c r="L1056" s="7" t="d">
        <x:v>2026-09-16T05:12:38.111Z</x:v>
      </x:c>
      <x:c r="M1056" s="7" t="str">
        <x:v>https://apm.activecommunities.com/portlandparks/Activity_Search/skateboarding---intermediate/208421?locale=en-US</x:v>
      </x:c>
    </x:row>
    <x:row r="1057" ht="38" customHeight="1">
      <x:c r="A1057" s="8" t="str">
        <x:v>208422</x:v>
      </x:c>
      <x:c r="B1057" s="11" t="str">
        <x:v>Skateboarding - Intermediate</x:v>
      </x:c>
      <x:c r="C1057" s="11" t="str">
        <x:v>Southwest Cmty Ctr</x:v>
      </x:c>
      <x:c r="D1057" s="11" t="str">
        <x:v>Sports - Skate</x:v>
      </x:c>
      <x:c r="E1057" s="8" t="str">
        <x:v>future</x:v>
      </x:c>
      <x:c r="F1057" s="8" t="str">
        <x:v>2026-11-12</x:v>
      </x:c>
      <x:c r="G1057" s="8" t="str">
        <x:v>2026-12-10</x:v>
      </x:c>
      <x:c r="H1057" s="8" t="n">
        <x:v>0</x:v>
      </x:c>
      <x:c r="I1057" s="8"/>
      <x:c r="J1057" s="8" t="n">
        <x:v>8</x:v>
      </x:c>
      <x:c r="K1057" s="8" t="str">
        <x:v>unverified-denominator</x:v>
      </x:c>
      <x:c r="L1057" s="8" t="d">
        <x:v>2026-09-16T05:12:38.111Z</x:v>
      </x:c>
      <x:c r="M1057" s="8" t="str">
        <x:v>https://apm.activecommunities.com/portlandparks/Activity_Search/skateboarding---intermediate/208422?locale=en-US</x:v>
      </x:c>
    </x:row>
    <x:row r="1058" ht="38" customHeight="1">
      <x:c r="A1058" s="7" t="str">
        <x:v>208619</x:v>
      </x:c>
      <x:c r="B1058" s="12" t="str">
        <x:v>Soccer - FUN Futsal</x:v>
      </x:c>
      <x:c r="C1058" s="12" t="str">
        <x:v>Mt Scott Cmty Ctr</x:v>
      </x:c>
      <x:c r="D1058" s="12" t="str">
        <x:v>Sports - Soccer</x:v>
      </x:c>
      <x:c r="E1058" s="7" t="str">
        <x:v>future</x:v>
      </x:c>
      <x:c r="F1058" s="7" t="str">
        <x:v>2026-10-10</x:v>
      </x:c>
      <x:c r="G1058" s="7" t="str">
        <x:v>2026-10-31</x:v>
      </x:c>
      <x:c r="H1058" s="7" t="n">
        <x:v>11</x:v>
      </x:c>
      <x:c r="I1058" s="7" t="n">
        <x:v>1</x:v>
      </x:c>
      <x:c r="J1058" s="7" t="n">
        <x:v>12</x:v>
      </x:c>
      <x:c r="K1058" s="7" t="str">
        <x:v>unverified-denominator</x:v>
      </x:c>
      <x:c r="L1058" s="7" t="d">
        <x:v>2026-09-16T05:12:38.111Z</x:v>
      </x:c>
      <x:c r="M1058" s="7" t="str">
        <x:v>https://apm.activecommunities.com/portlandparks/Activity_Search/soccer---fun-futsal/208619?locale=en-US</x:v>
      </x:c>
    </x:row>
    <x:row r="1059" ht="38" customHeight="1">
      <x:c r="A1059" s="8" t="str">
        <x:v>208632</x:v>
      </x:c>
      <x:c r="B1059" s="11" t="str">
        <x:v>Soccer - FUN Futsal</x:v>
      </x:c>
      <x:c r="C1059" s="11" t="str">
        <x:v>Mt Scott Cmty Ctr</x:v>
      </x:c>
      <x:c r="D1059" s="11" t="str">
        <x:v>Sports - Soccer</x:v>
      </x:c>
      <x:c r="E1059" s="8" t="str">
        <x:v>future</x:v>
      </x:c>
      <x:c r="F1059" s="8" t="str">
        <x:v>2026-11-07</x:v>
      </x:c>
      <x:c r="G1059" s="8" t="str">
        <x:v>2026-12-12</x:v>
      </x:c>
      <x:c r="H1059" s="8" t="n">
        <x:v>0</x:v>
      </x:c>
      <x:c r="I1059" s="8"/>
      <x:c r="J1059" s="8" t="n">
        <x:v>12</x:v>
      </x:c>
      <x:c r="K1059" s="8" t="str">
        <x:v>unverified-denominator</x:v>
      </x:c>
      <x:c r="L1059" s="8" t="d">
        <x:v>2026-09-16T05:12:38.111Z</x:v>
      </x:c>
      <x:c r="M1059" s="8" t="str">
        <x:v>https://apm.activecommunities.com/portlandparks/Activity_Search/soccer---fun-futsal/208632?locale=en-US</x:v>
      </x:c>
    </x:row>
    <x:row r="1060" ht="38" customHeight="1">
      <x:c r="A1060" s="7" t="str">
        <x:v>208577</x:v>
      </x:c>
      <x:c r="B1060" s="12" t="str">
        <x:v>Soccer - FUN Futsal</x:v>
      </x:c>
      <x:c r="C1060" s="12" t="str">
        <x:v>Mt Scott Cmty Ctr</x:v>
      </x:c>
      <x:c r="D1060" s="12" t="str">
        <x:v>Sports - Soccer</x:v>
      </x:c>
      <x:c r="E1060" s="7" t="str">
        <x:v>active</x:v>
      </x:c>
      <x:c r="F1060" s="7" t="str">
        <x:v>2026-09-05</x:v>
      </x:c>
      <x:c r="G1060" s="7" t="str">
        <x:v>2026-09-26</x:v>
      </x:c>
      <x:c r="H1060" s="7" t="n">
        <x:v>12</x:v>
      </x:c>
      <x:c r="I1060" s="7" t="n">
        <x:v>1</x:v>
      </x:c>
      <x:c r="J1060" s="7" t="n">
        <x:v>12</x:v>
      </x:c>
      <x:c r="K1060" s="7" t="str">
        <x:v>unverified-denominator</x:v>
      </x:c>
      <x:c r="L1060" s="7" t="d">
        <x:v>2026-09-16T05:12:38.111Z</x:v>
      </x:c>
      <x:c r="M1060" s="7" t="str">
        <x:v>https://apm.activecommunities.com/portlandparks/Activity_Search/soccer---fun-futsal/208577?locale=en-US</x:v>
      </x:c>
    </x:row>
    <x:row r="1061" ht="38" customHeight="1">
      <x:c r="A1061" s="8" t="str">
        <x:v>208448</x:v>
      </x:c>
      <x:c r="B1061" s="11" t="str">
        <x:v>Soccer - FUN Futsal (Advanced)</x:v>
      </x:c>
      <x:c r="C1061" s="11" t="str">
        <x:v>Peninsula Park Cmty Ctr</x:v>
      </x:c>
      <x:c r="D1061" s="11" t="str">
        <x:v>Sports - Soccer</x:v>
      </x:c>
      <x:c r="E1061" s="8" t="str">
        <x:v>future</x:v>
      </x:c>
      <x:c r="F1061" s="8" t="str">
        <x:v>2026-10-02</x:v>
      </x:c>
      <x:c r="G1061" s="8" t="str">
        <x:v>2026-10-30</x:v>
      </x:c>
      <x:c r="H1061" s="8" t="n">
        <x:v>4</x:v>
      </x:c>
      <x:c r="I1061" s="8"/>
      <x:c r="J1061" s="8" t="n">
        <x:v>12</x:v>
      </x:c>
      <x:c r="K1061" s="8" t="str">
        <x:v>unverified-denominator</x:v>
      </x:c>
      <x:c r="L1061" s="8" t="d">
        <x:v>2026-09-16T05:12:38.111Z</x:v>
      </x:c>
      <x:c r="M1061" s="8" t="str">
        <x:v>https://apm.activecommunities.com/portlandparks/Activity_Search/soccer---fun-futsal-advanced/208448?locale=en-US</x:v>
      </x:c>
    </x:row>
    <x:row r="1062" ht="38" customHeight="1">
      <x:c r="A1062" s="7" t="str">
        <x:v>208449</x:v>
      </x:c>
      <x:c r="B1062" s="12" t="str">
        <x:v>Soccer - FUN Futsal (Advanced)</x:v>
      </x:c>
      <x:c r="C1062" s="12" t="str">
        <x:v>Peninsula Park Cmty Ctr</x:v>
      </x:c>
      <x:c r="D1062" s="12" t="str">
        <x:v>Sports - Soccer</x:v>
      </x:c>
      <x:c r="E1062" s="7" t="str">
        <x:v>future</x:v>
      </x:c>
      <x:c r="F1062" s="7" t="str">
        <x:v>2026-11-06</x:v>
      </x:c>
      <x:c r="G1062" s="7" t="str">
        <x:v>2026-12-11</x:v>
      </x:c>
      <x:c r="H1062" s="7" t="n">
        <x:v>0</x:v>
      </x:c>
      <x:c r="I1062" s="7"/>
      <x:c r="J1062" s="7" t="n">
        <x:v>12</x:v>
      </x:c>
      <x:c r="K1062" s="7" t="str">
        <x:v>unverified-denominator</x:v>
      </x:c>
      <x:c r="L1062" s="7" t="d">
        <x:v>2026-09-16T05:12:38.111Z</x:v>
      </x:c>
      <x:c r="M1062" s="7" t="str">
        <x:v>https://apm.activecommunities.com/portlandparks/Activity_Search/soccer---fun-futsal-advanced/208449?locale=en-US</x:v>
      </x:c>
    </x:row>
    <x:row r="1063" ht="38" customHeight="1">
      <x:c r="A1063" s="8" t="str">
        <x:v>208447</x:v>
      </x:c>
      <x:c r="B1063" s="11" t="str">
        <x:v>Soccer - FUN Futsal (Beginners)</x:v>
      </x:c>
      <x:c r="C1063" s="11" t="str">
        <x:v>Peninsula Park Cmty Ctr</x:v>
      </x:c>
      <x:c r="D1063" s="11" t="str">
        <x:v>Sports - Soccer</x:v>
      </x:c>
      <x:c r="E1063" s="8" t="str">
        <x:v>future</x:v>
      </x:c>
      <x:c r="F1063" s="8" t="str">
        <x:v>2026-11-03</x:v>
      </x:c>
      <x:c r="G1063" s="8" t="str">
        <x:v>2026-12-01</x:v>
      </x:c>
      <x:c r="H1063" s="8" t="n">
        <x:v>0</x:v>
      </x:c>
      <x:c r="I1063" s="8"/>
      <x:c r="J1063" s="8" t="n">
        <x:v>12</x:v>
      </x:c>
      <x:c r="K1063" s="8" t="str">
        <x:v>unverified-denominator</x:v>
      </x:c>
      <x:c r="L1063" s="8" t="d">
        <x:v>2026-09-16T05:12:38.111Z</x:v>
      </x:c>
      <x:c r="M1063" s="8" t="str">
        <x:v>https://apm.activecommunities.com/portlandparks/Activity_Search/soccer---fun-futsal-beginners/208447?locale=en-US</x:v>
      </x:c>
    </x:row>
    <x:row r="1064" ht="38" customHeight="1">
      <x:c r="A1064" s="7" t="str">
        <x:v>208439</x:v>
      </x:c>
      <x:c r="B1064" s="12" t="str">
        <x:v>Soccer - FUN Futsal (Beginners)</x:v>
      </x:c>
      <x:c r="C1064" s="12" t="str">
        <x:v>Peninsula Park Cmty Ctr</x:v>
      </x:c>
      <x:c r="D1064" s="12" t="str">
        <x:v>Sports - Soccer</x:v>
      </x:c>
      <x:c r="E1064" s="7" t="str">
        <x:v>future</x:v>
      </x:c>
      <x:c r="F1064" s="7" t="str">
        <x:v>2026-09-29</x:v>
      </x:c>
      <x:c r="G1064" s="7" t="str">
        <x:v>2026-10-27</x:v>
      </x:c>
      <x:c r="H1064" s="7" t="n">
        <x:v>5</x:v>
      </x:c>
      <x:c r="I1064" s="7"/>
      <x:c r="J1064" s="7" t="n">
        <x:v>12</x:v>
      </x:c>
      <x:c r="K1064" s="7" t="str">
        <x:v>unverified-denominator</x:v>
      </x:c>
      <x:c r="L1064" s="7" t="d">
        <x:v>2026-09-16T05:12:38.111Z</x:v>
      </x:c>
      <x:c r="M1064" s="7" t="str">
        <x:v>https://apm.activecommunities.com/portlandparks/Activity_Search/soccer---fun-futsal-beginners/208439?locale=en-US</x:v>
      </x:c>
    </x:row>
    <x:row r="1065" ht="38" customHeight="1">
      <x:c r="A1065" s="8" t="str">
        <x:v>208437</x:v>
      </x:c>
      <x:c r="B1065" s="11" t="str">
        <x:v>Soccer - FUN Futsal (Beginners)</x:v>
      </x:c>
      <x:c r="C1065" s="11" t="str">
        <x:v>Peninsula Park Cmty Ctr</x:v>
      </x:c>
      <x:c r="D1065" s="11" t="str">
        <x:v>Sports - Soccer</x:v>
      </x:c>
      <x:c r="E1065" s="8" t="str">
        <x:v>future</x:v>
      </x:c>
      <x:c r="F1065" s="8" t="str">
        <x:v>2026-11-02</x:v>
      </x:c>
      <x:c r="G1065" s="8" t="str">
        <x:v>2026-12-07</x:v>
      </x:c>
      <x:c r="H1065" s="8" t="n">
        <x:v>0</x:v>
      </x:c>
      <x:c r="I1065" s="8"/>
      <x:c r="J1065" s="8" t="n">
        <x:v>14</x:v>
      </x:c>
      <x:c r="K1065" s="8" t="str">
        <x:v>unverified-denominator</x:v>
      </x:c>
      <x:c r="L1065" s="8" t="d">
        <x:v>2026-09-16T05:12:38.111Z</x:v>
      </x:c>
      <x:c r="M1065" s="8" t="str">
        <x:v>https://apm.activecommunities.com/portlandparks/Activity_Search/soccer---fun-futsal-beginners/208437?locale=en-US</x:v>
      </x:c>
    </x:row>
    <x:row r="1066" ht="38" customHeight="1">
      <x:c r="A1066" s="7" t="str">
        <x:v>208434</x:v>
      </x:c>
      <x:c r="B1066" s="12" t="str">
        <x:v>Soccer - FUN Futsal (Beginners)</x:v>
      </x:c>
      <x:c r="C1066" s="12" t="str">
        <x:v>Peninsula Park Cmty Ctr</x:v>
      </x:c>
      <x:c r="D1066" s="12" t="str">
        <x:v>Sports - Soccer</x:v>
      </x:c>
      <x:c r="E1066" s="7" t="str">
        <x:v>future</x:v>
      </x:c>
      <x:c r="F1066" s="7" t="str">
        <x:v>2026-09-28</x:v>
      </x:c>
      <x:c r="G1066" s="7" t="str">
        <x:v>2026-10-26</x:v>
      </x:c>
      <x:c r="H1066" s="7" t="n">
        <x:v>2</x:v>
      </x:c>
      <x:c r="I1066" s="7"/>
      <x:c r="J1066" s="7" t="n">
        <x:v>14</x:v>
      </x:c>
      <x:c r="K1066" s="7" t="str">
        <x:v>unverified-denominator</x:v>
      </x:c>
      <x:c r="L1066" s="7" t="d">
        <x:v>2026-09-16T05:12:38.111Z</x:v>
      </x:c>
      <x:c r="M1066" s="7" t="str">
        <x:v>https://apm.activecommunities.com/portlandparks/Activity_Search/soccer---fun-futsal-beginners/208434?locale=en-US</x:v>
      </x:c>
    </x:row>
    <x:row r="1067" ht="38" customHeight="1">
      <x:c r="A1067" s="8" t="str">
        <x:v>208642</x:v>
      </x:c>
      <x:c r="B1067" s="11" t="str">
        <x:v>Soccer - FUNdamentals</x:v>
      </x:c>
      <x:c r="C1067" s="11" t="str">
        <x:v>Charles Jordan Cmty Ctr</x:v>
      </x:c>
      <x:c r="D1067" s="11" t="str">
        <x:v>Sports - Soccer</x:v>
      </x:c>
      <x:c r="E1067" s="8" t="str">
        <x:v>future</x:v>
      </x:c>
      <x:c r="F1067" s="8" t="str">
        <x:v>2026-11-07</x:v>
      </x:c>
      <x:c r="G1067" s="8" t="str">
        <x:v>2026-12-12</x:v>
      </x:c>
      <x:c r="H1067" s="8" t="n">
        <x:v>0</x:v>
      </x:c>
      <x:c r="I1067" s="8"/>
      <x:c r="J1067" s="8" t="n">
        <x:v>10</x:v>
      </x:c>
      <x:c r="K1067" s="8" t="str">
        <x:v>unverified-denominator</x:v>
      </x:c>
      <x:c r="L1067" s="8" t="d">
        <x:v>2026-09-16T05:12:38.111Z</x:v>
      </x:c>
      <x:c r="M1067" s="8" t="str">
        <x:v>https://apm.activecommunities.com/portlandparks/Activity_Search/soccer---fundamentals/208642?locale=en-US</x:v>
      </x:c>
    </x:row>
    <x:row r="1068" ht="38" customHeight="1">
      <x:c r="A1068" s="7" t="str">
        <x:v>208627</x:v>
      </x:c>
      <x:c r="B1068" s="12" t="str">
        <x:v>Soccer - FUNdamentals</x:v>
      </x:c>
      <x:c r="C1068" s="12" t="str">
        <x:v>Charles Jordan Cmty Ctr</x:v>
      </x:c>
      <x:c r="D1068" s="12" t="str">
        <x:v>Sports - Soccer</x:v>
      </x:c>
      <x:c r="E1068" s="7" t="str">
        <x:v>future</x:v>
      </x:c>
      <x:c r="F1068" s="7" t="str">
        <x:v>2026-10-03</x:v>
      </x:c>
      <x:c r="G1068" s="7" t="str">
        <x:v>2026-10-31</x:v>
      </x:c>
      <x:c r="H1068" s="7" t="n">
        <x:v>4</x:v>
      </x:c>
      <x:c r="I1068" s="7"/>
      <x:c r="J1068" s="7" t="n">
        <x:v>12</x:v>
      </x:c>
      <x:c r="K1068" s="7" t="str">
        <x:v>unverified-denominator</x:v>
      </x:c>
      <x:c r="L1068" s="7" t="d">
        <x:v>2026-09-16T05:12:38.111Z</x:v>
      </x:c>
      <x:c r="M1068" s="7" t="str">
        <x:v>https://apm.activecommunities.com/portlandparks/Activity_Search/soccer---fundamentals/208627?locale=en-US</x:v>
      </x:c>
    </x:row>
    <x:row r="1069" ht="38" customHeight="1">
      <x:c r="A1069" s="8" t="str">
        <x:v>207821</x:v>
      </x:c>
      <x:c r="B1069" s="11" t="str">
        <x:v>Soccer - FUNdamentals</x:v>
      </x:c>
      <x:c r="C1069" s="11" t="str">
        <x:v>East Portland Cmty Ctr</x:v>
      </x:c>
      <x:c r="D1069" s="11" t="str">
        <x:v>Sports - Soccer</x:v>
      </x:c>
      <x:c r="E1069" s="8" t="str">
        <x:v>future</x:v>
      </x:c>
      <x:c r="F1069" s="8" t="str">
        <x:v>2026-10-04</x:v>
      </x:c>
      <x:c r="G1069" s="8" t="str">
        <x:v>2026-11-01</x:v>
      </x:c>
      <x:c r="H1069" s="8" t="n">
        <x:v>9</x:v>
      </x:c>
      <x:c r="I1069" s="8" t="n">
        <x:v>1</x:v>
      </x:c>
      <x:c r="J1069" s="8" t="n">
        <x:v>10</x:v>
      </x:c>
      <x:c r="K1069" s="8" t="str">
        <x:v>unverified-denominator</x:v>
      </x:c>
      <x:c r="L1069" s="8" t="d">
        <x:v>2026-09-16T05:12:38.111Z</x:v>
      </x:c>
      <x:c r="M1069" s="8" t="str">
        <x:v>https://apm.activecommunities.com/portlandparks/Activity_Search/soccer---fundamentals/207821?locale=en-US</x:v>
      </x:c>
    </x:row>
    <x:row r="1070" ht="38" customHeight="1">
      <x:c r="A1070" s="7" t="str">
        <x:v>207848</x:v>
      </x:c>
      <x:c r="B1070" s="12" t="str">
        <x:v>Soccer - FUNdamentals</x:v>
      </x:c>
      <x:c r="C1070" s="12" t="str">
        <x:v>East Portland Cmty Ctr</x:v>
      </x:c>
      <x:c r="D1070" s="12" t="str">
        <x:v>Sports - Soccer</x:v>
      </x:c>
      <x:c r="E1070" s="7" t="str">
        <x:v>future</x:v>
      </x:c>
      <x:c r="F1070" s="7" t="str">
        <x:v>2026-11-08</x:v>
      </x:c>
      <x:c r="G1070" s="7" t="str">
        <x:v>2026-12-13</x:v>
      </x:c>
      <x:c r="H1070" s="7" t="n">
        <x:v>0</x:v>
      </x:c>
      <x:c r="I1070" s="7"/>
      <x:c r="J1070" s="7" t="n">
        <x:v>10</x:v>
      </x:c>
      <x:c r="K1070" s="7" t="str">
        <x:v>unverified-denominator</x:v>
      </x:c>
      <x:c r="L1070" s="7" t="d">
        <x:v>2026-09-16T05:12:38.111Z</x:v>
      </x:c>
      <x:c r="M1070" s="7" t="str">
        <x:v>https://apm.activecommunities.com/portlandparks/Activity_Search/soccer---fundamentals/207848?locale=en-US</x:v>
      </x:c>
    </x:row>
    <x:row r="1071" ht="38" customHeight="1">
      <x:c r="A1071" s="8" t="str">
        <x:v>207846</x:v>
      </x:c>
      <x:c r="B1071" s="11" t="str">
        <x:v>Soccer - Jump Start</x:v>
      </x:c>
      <x:c r="C1071" s="11" t="str">
        <x:v>East Portland Cmty Ctr</x:v>
      </x:c>
      <x:c r="D1071" s="11" t="str">
        <x:v>Sports - Soccer</x:v>
      </x:c>
      <x:c r="E1071" s="8" t="str">
        <x:v>future</x:v>
      </x:c>
      <x:c r="F1071" s="8" t="str">
        <x:v>2026-11-08</x:v>
      </x:c>
      <x:c r="G1071" s="8" t="str">
        <x:v>2026-12-13</x:v>
      </x:c>
      <x:c r="H1071" s="8" t="n">
        <x:v>0</x:v>
      </x:c>
      <x:c r="I1071" s="8"/>
      <x:c r="J1071" s="8" t="n">
        <x:v>12</x:v>
      </x:c>
      <x:c r="K1071" s="8" t="str">
        <x:v>unverified-denominator</x:v>
      </x:c>
      <x:c r="L1071" s="8" t="d">
        <x:v>2026-09-16T05:12:38.111Z</x:v>
      </x:c>
      <x:c r="M1071" s="8" t="str">
        <x:v>https://apm.activecommunities.com/portlandparks/Activity_Search/soccer---jump-start/207846?locale=en-US</x:v>
      </x:c>
    </x:row>
    <x:row r="1072" ht="38" customHeight="1">
      <x:c r="A1072" s="7" t="str">
        <x:v>207824</x:v>
      </x:c>
      <x:c r="B1072" s="12" t="str">
        <x:v>Soccer - Jump Start</x:v>
      </x:c>
      <x:c r="C1072" s="12" t="str">
        <x:v>East Portland Cmty Ctr</x:v>
      </x:c>
      <x:c r="D1072" s="12" t="str">
        <x:v>Sports - Soccer</x:v>
      </x:c>
      <x:c r="E1072" s="7" t="str">
        <x:v>future</x:v>
      </x:c>
      <x:c r="F1072" s="7" t="str">
        <x:v>2026-10-04</x:v>
      </x:c>
      <x:c r="G1072" s="7" t="str">
        <x:v>2026-11-01</x:v>
      </x:c>
      <x:c r="H1072" s="7" t="n">
        <x:v>11</x:v>
      </x:c>
      <x:c r="I1072" s="7" t="n">
        <x:v>9</x:v>
      </x:c>
      <x:c r="J1072" s="7" t="n">
        <x:v>12</x:v>
      </x:c>
      <x:c r="K1072" s="7" t="str">
        <x:v>unverified-denominator</x:v>
      </x:c>
      <x:c r="L1072" s="7" t="d">
        <x:v>2026-09-16T05:12:38.111Z</x:v>
      </x:c>
      <x:c r="M1072" s="7" t="str">
        <x:v>https://apm.activecommunities.com/portlandparks/Activity_Search/soccer---jump-start/207824?locale=en-US</x:v>
      </x:c>
    </x:row>
    <x:row r="1073" ht="38" customHeight="1">
      <x:c r="A1073" s="8" t="str">
        <x:v>208616</x:v>
      </x:c>
      <x:c r="B1073" s="11" t="str">
        <x:v>Soccer - Jump Start</x:v>
      </x:c>
      <x:c r="C1073" s="11" t="str">
        <x:v>Mt Scott Cmty Ctr</x:v>
      </x:c>
      <x:c r="D1073" s="11" t="str">
        <x:v>Sports - Soccer</x:v>
      </x:c>
      <x:c r="E1073" s="8" t="str">
        <x:v>future</x:v>
      </x:c>
      <x:c r="F1073" s="8" t="str">
        <x:v>2026-10-15</x:v>
      </x:c>
      <x:c r="G1073" s="8" t="str">
        <x:v>2026-10-29</x:v>
      </x:c>
      <x:c r="H1073" s="8" t="n">
        <x:v>2</x:v>
      </x:c>
      <x:c r="I1073" s="8"/>
      <x:c r="J1073" s="8" t="n">
        <x:v>12</x:v>
      </x:c>
      <x:c r="K1073" s="8" t="str">
        <x:v>unverified-denominator</x:v>
      </x:c>
      <x:c r="L1073" s="8" t="d">
        <x:v>2026-09-16T05:12:38.111Z</x:v>
      </x:c>
      <x:c r="M1073" s="8" t="str">
        <x:v>https://apm.activecommunities.com/portlandparks/Activity_Search/soccer---jump-start/208616?locale=en-US</x:v>
      </x:c>
    </x:row>
    <x:row r="1074" ht="38" customHeight="1">
      <x:c r="A1074" s="7" t="str">
        <x:v>208633</x:v>
      </x:c>
      <x:c r="B1074" s="12" t="str">
        <x:v>Soccer - Jump Start</x:v>
      </x:c>
      <x:c r="C1074" s="12" t="str">
        <x:v>Mt Scott Cmty Ctr</x:v>
      </x:c>
      <x:c r="D1074" s="12" t="str">
        <x:v>Sports - Soccer</x:v>
      </x:c>
      <x:c r="E1074" s="7" t="str">
        <x:v>future</x:v>
      </x:c>
      <x:c r="F1074" s="7" t="str">
        <x:v>2026-11-12</x:v>
      </x:c>
      <x:c r="G1074" s="7" t="str">
        <x:v>2026-12-10</x:v>
      </x:c>
      <x:c r="H1074" s="7" t="n">
        <x:v>0</x:v>
      </x:c>
      <x:c r="I1074" s="7"/>
      <x:c r="J1074" s="7" t="n">
        <x:v>12</x:v>
      </x:c>
      <x:c r="K1074" s="7" t="str">
        <x:v>unverified-denominator</x:v>
      </x:c>
      <x:c r="L1074" s="7" t="d">
        <x:v>2026-09-16T05:12:38.111Z</x:v>
      </x:c>
      <x:c r="M1074" s="7" t="str">
        <x:v>https://apm.activecommunities.com/portlandparks/Activity_Search/soccer---jump-start/208633?locale=en-US</x:v>
      </x:c>
    </x:row>
    <x:row r="1075" ht="38" customHeight="1">
      <x:c r="A1075" s="8" t="str">
        <x:v>208576</x:v>
      </x:c>
      <x:c r="B1075" s="11" t="str">
        <x:v>Soccer - Jump Start</x:v>
      </x:c>
      <x:c r="C1075" s="11" t="str">
        <x:v>Mt Scott Cmty Ctr</x:v>
      </x:c>
      <x:c r="D1075" s="11" t="str">
        <x:v>Sports - Soccer</x:v>
      </x:c>
      <x:c r="E1075" s="8" t="str">
        <x:v>active</x:v>
      </x:c>
      <x:c r="F1075" s="8" t="str">
        <x:v>2026-09-03</x:v>
      </x:c>
      <x:c r="G1075" s="8" t="str">
        <x:v>2026-09-24</x:v>
      </x:c>
      <x:c r="H1075" s="8" t="n">
        <x:v>12</x:v>
      </x:c>
      <x:c r="I1075" s="8" t="n">
        <x:v>1</x:v>
      </x:c>
      <x:c r="J1075" s="8" t="n">
        <x:v>12</x:v>
      </x:c>
      <x:c r="K1075" s="8" t="str">
        <x:v>unverified-denominator</x:v>
      </x:c>
      <x:c r="L1075" s="8" t="d">
        <x:v>2026-09-16T05:12:38.111Z</x:v>
      </x:c>
      <x:c r="M1075" s="8" t="str">
        <x:v>https://apm.activecommunities.com/portlandparks/Activity_Search/soccer---jump-start/208576?locale=en-US</x:v>
      </x:c>
    </x:row>
    <x:row r="1076" ht="38" customHeight="1">
      <x:c r="A1076" s="7" t="str">
        <x:v>201951</x:v>
      </x:c>
      <x:c r="B1076" s="12" t="str">
        <x:v>Soccer - Jump Start</x:v>
      </x:c>
      <x:c r="C1076" s="12" t="str">
        <x:v>Peninsula Park Cmty Ctr</x:v>
      </x:c>
      <x:c r="D1076" s="12" t="str">
        <x:v>Sports - Soccer</x:v>
      </x:c>
      <x:c r="E1076" s="7" t="str">
        <x:v>active</x:v>
      </x:c>
      <x:c r="F1076" s="7" t="str">
        <x:v>2026-09-02</x:v>
      </x:c>
      <x:c r="G1076" s="7" t="str">
        <x:v>2026-09-23</x:v>
      </x:c>
      <x:c r="H1076" s="7" t="n">
        <x:v>7</x:v>
      </x:c>
      <x:c r="I1076" s="7"/>
      <x:c r="J1076" s="7" t="n">
        <x:v>10</x:v>
      </x:c>
      <x:c r="K1076" s="7" t="str">
        <x:v>unverified-denominator</x:v>
      </x:c>
      <x:c r="L1076" s="7" t="d">
        <x:v>2026-09-16T05:12:38.111Z</x:v>
      </x:c>
      <x:c r="M1076" s="7" t="str">
        <x:v>https://apm.activecommunities.com/portlandparks/Activity_Search/soccer---jump-start/201951?locale=en-US</x:v>
      </x:c>
    </x:row>
    <x:row r="1077" ht="38" customHeight="1">
      <x:c r="A1077" s="8" t="str">
        <x:v>208637</x:v>
      </x:c>
      <x:c r="B1077" s="11" t="str">
        <x:v>Soccer - Tiny Tots</x:v>
      </x:c>
      <x:c r="C1077" s="11" t="str">
        <x:v>Charles Jordan Cmty Ctr</x:v>
      </x:c>
      <x:c r="D1077" s="11" t="str">
        <x:v>Sports - Soccer</x:v>
      </x:c>
      <x:c r="E1077" s="8" t="str">
        <x:v>future</x:v>
      </x:c>
      <x:c r="F1077" s="8" t="str">
        <x:v>2026-11-04</x:v>
      </x:c>
      <x:c r="G1077" s="8" t="str">
        <x:v>2026-12-09</x:v>
      </x:c>
      <x:c r="H1077" s="8" t="n">
        <x:v>0</x:v>
      </x:c>
      <x:c r="I1077" s="8"/>
      <x:c r="J1077" s="8" t="n">
        <x:v>12</x:v>
      </x:c>
      <x:c r="K1077" s="8" t="str">
        <x:v>unverified-denominator</x:v>
      </x:c>
      <x:c r="L1077" s="8" t="d">
        <x:v>2026-09-16T05:12:38.111Z</x:v>
      </x:c>
      <x:c r="M1077" s="8" t="str">
        <x:v>https://apm.activecommunities.com/portlandparks/Activity_Search/soccer---tiny-tots/208637?locale=en-US</x:v>
      </x:c>
    </x:row>
    <x:row r="1078" ht="38" customHeight="1">
      <x:c r="A1078" s="7" t="str">
        <x:v>208622</x:v>
      </x:c>
      <x:c r="B1078" s="12" t="str">
        <x:v>Soccer - Tiny Tots</x:v>
      </x:c>
      <x:c r="C1078" s="12" t="str">
        <x:v>Charles Jordan Cmty Ctr</x:v>
      </x:c>
      <x:c r="D1078" s="12" t="str">
        <x:v>Sports - Soccer</x:v>
      </x:c>
      <x:c r="E1078" s="7" t="str">
        <x:v>future</x:v>
      </x:c>
      <x:c r="F1078" s="7" t="str">
        <x:v>2026-09-30</x:v>
      </x:c>
      <x:c r="G1078" s="7" t="str">
        <x:v>2026-10-28</x:v>
      </x:c>
      <x:c r="H1078" s="7" t="n">
        <x:v>12</x:v>
      </x:c>
      <x:c r="I1078" s="7" t="n">
        <x:v>1</x:v>
      </x:c>
      <x:c r="J1078" s="7" t="n">
        <x:v>12</x:v>
      </x:c>
      <x:c r="K1078" s="7" t="str">
        <x:v>unverified-denominator</x:v>
      </x:c>
      <x:c r="L1078" s="7" t="d">
        <x:v>2026-09-16T05:12:38.111Z</x:v>
      </x:c>
      <x:c r="M1078" s="7" t="str">
        <x:v>https://apm.activecommunities.com/portlandparks/Activity_Search/soccer---tiny-tots/208622?locale=en-US</x:v>
      </x:c>
    </x:row>
    <x:row r="1079" ht="38" customHeight="1">
      <x:c r="A1079" s="8" t="str">
        <x:v>207825</x:v>
      </x:c>
      <x:c r="B1079" s="11" t="str">
        <x:v>Soccer - Tiny tots</x:v>
      </x:c>
      <x:c r="C1079" s="11" t="str">
        <x:v>East Portland Cmty Ctr</x:v>
      </x:c>
      <x:c r="D1079" s="11" t="str">
        <x:v>Sports - Soccer</x:v>
      </x:c>
      <x:c r="E1079" s="8" t="str">
        <x:v>future</x:v>
      </x:c>
      <x:c r="F1079" s="8" t="str">
        <x:v>2026-10-04</x:v>
      </x:c>
      <x:c r="G1079" s="8" t="str">
        <x:v>2026-11-01</x:v>
      </x:c>
      <x:c r="H1079" s="8" t="n">
        <x:v>10</x:v>
      </x:c>
      <x:c r="I1079" s="8" t="n">
        <x:v>1</x:v>
      </x:c>
      <x:c r="J1079" s="8" t="n">
        <x:v>10</x:v>
      </x:c>
      <x:c r="K1079" s="8" t="str">
        <x:v>unverified-denominator</x:v>
      </x:c>
      <x:c r="L1079" s="8" t="d">
        <x:v>2026-09-16T05:12:38.111Z</x:v>
      </x:c>
      <x:c r="M1079" s="8" t="str">
        <x:v>https://apm.activecommunities.com/portlandparks/Activity_Search/soccer---tiny-tots/207825?locale=en-US</x:v>
      </x:c>
    </x:row>
    <x:row r="1080" ht="38" customHeight="1">
      <x:c r="A1080" s="7" t="str">
        <x:v>207843</x:v>
      </x:c>
      <x:c r="B1080" s="12" t="str">
        <x:v>Soccer - Tiny tots</x:v>
      </x:c>
      <x:c r="C1080" s="12" t="str">
        <x:v>East Portland Cmty Ctr</x:v>
      </x:c>
      <x:c r="D1080" s="12" t="str">
        <x:v>Sports - Soccer</x:v>
      </x:c>
      <x:c r="E1080" s="7" t="str">
        <x:v>future</x:v>
      </x:c>
      <x:c r="F1080" s="7" t="str">
        <x:v>2026-11-08</x:v>
      </x:c>
      <x:c r="G1080" s="7" t="str">
        <x:v>2026-12-13</x:v>
      </x:c>
      <x:c r="H1080" s="7" t="n">
        <x:v>0</x:v>
      </x:c>
      <x:c r="I1080" s="7"/>
      <x:c r="J1080" s="7" t="n">
        <x:v>10</x:v>
      </x:c>
      <x:c r="K1080" s="7" t="str">
        <x:v>unverified-denominator</x:v>
      </x:c>
      <x:c r="L1080" s="7" t="d">
        <x:v>2026-09-16T05:12:38.111Z</x:v>
      </x:c>
      <x:c r="M1080" s="7" t="str">
        <x:v>https://apm.activecommunities.com/portlandparks/Activity_Search/soccer---tiny-tots/207843?locale=en-US</x:v>
      </x:c>
    </x:row>
    <x:row r="1081" ht="38" customHeight="1">
      <x:c r="A1081" s="8" t="str">
        <x:v>201952</x:v>
      </x:c>
      <x:c r="B1081" s="11" t="str">
        <x:v>Soccer - You &amp; Me</x:v>
      </x:c>
      <x:c r="C1081" s="11" t="str">
        <x:v>Peninsula Park Cmty Ctr</x:v>
      </x:c>
      <x:c r="D1081" s="11" t="str">
        <x:v>Sports - Soccer</x:v>
      </x:c>
      <x:c r="E1081" s="8" t="str">
        <x:v>active</x:v>
      </x:c>
      <x:c r="F1081" s="8" t="str">
        <x:v>2026-09-02</x:v>
      </x:c>
      <x:c r="G1081" s="8" t="str">
        <x:v>2026-09-23</x:v>
      </x:c>
      <x:c r="H1081" s="8" t="n">
        <x:v>10</x:v>
      </x:c>
      <x:c r="I1081" s="8"/>
      <x:c r="J1081" s="8" t="n">
        <x:v>10</x:v>
      </x:c>
      <x:c r="K1081" s="8" t="str">
        <x:v>unverified-denominator</x:v>
      </x:c>
      <x:c r="L1081" s="8" t="d">
        <x:v>2026-09-16T05:12:38.111Z</x:v>
      </x:c>
      <x:c r="M1081" s="8" t="str">
        <x:v>https://apm.activecommunities.com/portlandparks/Activity_Search/soccer---you-me/201952?locale=en-US</x:v>
      </x:c>
    </x:row>
    <x:row r="1082" ht="38" customHeight="1">
      <x:c r="A1082" s="7" t="str">
        <x:v>201950</x:v>
      </x:c>
      <x:c r="B1082" s="12" t="str">
        <x:v>Soccer - You &amp; Me</x:v>
      </x:c>
      <x:c r="C1082" s="12" t="str">
        <x:v>Peninsula Park Cmty Ctr</x:v>
      </x:c>
      <x:c r="D1082" s="12" t="str">
        <x:v>Sports - Soccer</x:v>
      </x:c>
      <x:c r="E1082" s="7" t="str">
        <x:v>active</x:v>
      </x:c>
      <x:c r="F1082" s="7" t="str">
        <x:v>2026-09-02</x:v>
      </x:c>
      <x:c r="G1082" s="7" t="str">
        <x:v>2026-09-23</x:v>
      </x:c>
      <x:c r="H1082" s="7" t="n">
        <x:v>10</x:v>
      </x:c>
      <x:c r="I1082" s="7" t="n">
        <x:v>3</x:v>
      </x:c>
      <x:c r="J1082" s="7" t="n">
        <x:v>10</x:v>
      </x:c>
      <x:c r="K1082" s="7" t="str">
        <x:v>unverified-denominator</x:v>
      </x:c>
      <x:c r="L1082" s="7" t="d">
        <x:v>2026-09-16T05:12:38.111Z</x:v>
      </x:c>
      <x:c r="M1082" s="7" t="str">
        <x:v>https://apm.activecommunities.com/portlandparks/Activity_Search/soccer---you-me/201950?locale=en-US</x:v>
      </x:c>
    </x:row>
    <x:row r="1083" ht="38" customHeight="1">
      <x:c r="A1083" s="8" t="str">
        <x:v>208118</x:v>
      </x:c>
      <x:c r="B1083" s="11" t="str">
        <x:v>Sports - Volleyball</x:v>
      </x:c>
      <x:c r="C1083" s="11" t="str">
        <x:v>Peninsula Park Cmty Ctr</x:v>
      </x:c>
      <x:c r="D1083" s="11" t="str">
        <x:v>Sports - Volleyball</x:v>
      </x:c>
      <x:c r="E1083" s="8" t="str">
        <x:v>future</x:v>
      </x:c>
      <x:c r="F1083" s="8" t="str">
        <x:v>2026-11-04</x:v>
      </x:c>
      <x:c r="G1083" s="8" t="str">
        <x:v>2026-12-09</x:v>
      </x:c>
      <x:c r="H1083" s="8" t="n">
        <x:v>0</x:v>
      </x:c>
      <x:c r="I1083" s="8"/>
      <x:c r="J1083" s="8" t="n">
        <x:v>18</x:v>
      </x:c>
      <x:c r="K1083" s="8" t="str">
        <x:v>unverified-denominator</x:v>
      </x:c>
      <x:c r="L1083" s="8" t="d">
        <x:v>2026-09-16T05:12:38.111Z</x:v>
      </x:c>
      <x:c r="M1083" s="8" t="str">
        <x:v>https://apm.activecommunities.com/portlandparks/Activity_Search/sports---volleyball/208118?locale=en-US</x:v>
      </x:c>
    </x:row>
    <x:row r="1084" ht="38" customHeight="1">
      <x:c r="A1084" s="7" t="str">
        <x:v>208108</x:v>
      </x:c>
      <x:c r="B1084" s="12" t="str">
        <x:v>Sports - Volleyball</x:v>
      </x:c>
      <x:c r="C1084" s="12" t="str">
        <x:v>Peninsula Park Cmty Ctr</x:v>
      </x:c>
      <x:c r="D1084" s="12" t="str">
        <x:v>Sports - Volleyball</x:v>
      </x:c>
      <x:c r="E1084" s="7" t="str">
        <x:v>future</x:v>
      </x:c>
      <x:c r="F1084" s="7" t="str">
        <x:v>2026-09-30</x:v>
      </x:c>
      <x:c r="G1084" s="7" t="str">
        <x:v>2026-10-28</x:v>
      </x:c>
      <x:c r="H1084" s="7" t="n">
        <x:v>3</x:v>
      </x:c>
      <x:c r="I1084" s="7"/>
      <x:c r="J1084" s="7" t="n">
        <x:v>18</x:v>
      </x:c>
      <x:c r="K1084" s="7" t="str">
        <x:v>unverified-denominator</x:v>
      </x:c>
      <x:c r="L1084" s="7" t="d">
        <x:v>2026-09-16T05:12:38.111Z</x:v>
      </x:c>
      <x:c r="M1084" s="7" t="str">
        <x:v>https://apm.activecommunities.com/portlandparks/Activity_Search/sports---volleyball/208108?locale=en-US</x:v>
      </x:c>
    </x:row>
    <x:row r="1085" ht="38" customHeight="1">
      <x:c r="A1085" s="8" t="str">
        <x:v>208623</x:v>
      </x:c>
      <x:c r="B1085" s="11" t="str">
        <x:v>Sports Mix - Gym Babies</x:v>
      </x:c>
      <x:c r="C1085" s="11" t="str">
        <x:v>Charles Jordan Cmty Ctr</x:v>
      </x:c>
      <x:c r="D1085" s="11" t="str">
        <x:v>Sports - Sports Mix</x:v>
      </x:c>
      <x:c r="E1085" s="8" t="str">
        <x:v>future</x:v>
      </x:c>
      <x:c r="F1085" s="8" t="str">
        <x:v>2026-10-03</x:v>
      </x:c>
      <x:c r="G1085" s="8" t="str">
        <x:v>2026-10-31</x:v>
      </x:c>
      <x:c r="H1085" s="8" t="n">
        <x:v>10</x:v>
      </x:c>
      <x:c r="I1085" s="8"/>
      <x:c r="J1085" s="8" t="n">
        <x:v>12</x:v>
      </x:c>
      <x:c r="K1085" s="8" t="str">
        <x:v>unverified-denominator</x:v>
      </x:c>
      <x:c r="L1085" s="8" t="d">
        <x:v>2026-09-16T05:12:38.111Z</x:v>
      </x:c>
      <x:c r="M1085" s="8" t="str">
        <x:v>https://apm.activecommunities.com/portlandparks/Activity_Search/sports-mix---gym-babies/208623?locale=en-US</x:v>
      </x:c>
    </x:row>
    <x:row r="1086" ht="38" customHeight="1">
      <x:c r="A1086" s="7" t="str">
        <x:v>208638</x:v>
      </x:c>
      <x:c r="B1086" s="12" t="str">
        <x:v>Sports Mix - Gym Babies</x:v>
      </x:c>
      <x:c r="C1086" s="12" t="str">
        <x:v>Charles Jordan Cmty Ctr</x:v>
      </x:c>
      <x:c r="D1086" s="12" t="str">
        <x:v>Sports - Sports Mix</x:v>
      </x:c>
      <x:c r="E1086" s="7" t="str">
        <x:v>future</x:v>
      </x:c>
      <x:c r="F1086" s="7" t="str">
        <x:v>2026-11-07</x:v>
      </x:c>
      <x:c r="G1086" s="7" t="str">
        <x:v>2026-12-12</x:v>
      </x:c>
      <x:c r="H1086" s="7" t="n">
        <x:v>0</x:v>
      </x:c>
      <x:c r="I1086" s="7"/>
      <x:c r="J1086" s="7" t="n">
        <x:v>12</x:v>
      </x:c>
      <x:c r="K1086" s="7" t="str">
        <x:v>unverified-denominator</x:v>
      </x:c>
      <x:c r="L1086" s="7" t="d">
        <x:v>2026-09-16T05:12:38.111Z</x:v>
      </x:c>
      <x:c r="M1086" s="7" t="str">
        <x:v>https://apm.activecommunities.com/portlandparks/Activity_Search/sports-mix---gym-babies/208638?locale=en-US</x:v>
      </x:c>
    </x:row>
    <x:row r="1087" ht="38" customHeight="1">
      <x:c r="A1087" s="8" t="str">
        <x:v>208634</x:v>
      </x:c>
      <x:c r="B1087" s="11" t="str">
        <x:v>Sports Mix - Jump Start</x:v>
      </x:c>
      <x:c r="C1087" s="11" t="str">
        <x:v>Mt Scott Cmty Ctr</x:v>
      </x:c>
      <x:c r="D1087" s="11" t="str">
        <x:v>Sports - Sports Mix</x:v>
      </x:c>
      <x:c r="E1087" s="8" t="str">
        <x:v>future</x:v>
      </x:c>
      <x:c r="F1087" s="8" t="str">
        <x:v>2026-11-12</x:v>
      </x:c>
      <x:c r="G1087" s="8" t="str">
        <x:v>2026-12-10</x:v>
      </x:c>
      <x:c r="H1087" s="8" t="n">
        <x:v>0</x:v>
      </x:c>
      <x:c r="I1087" s="8"/>
      <x:c r="J1087" s="8" t="n">
        <x:v>12</x:v>
      </x:c>
      <x:c r="K1087" s="8" t="str">
        <x:v>unverified-denominator</x:v>
      </x:c>
      <x:c r="L1087" s="8" t="d">
        <x:v>2026-09-16T05:12:38.111Z</x:v>
      </x:c>
      <x:c r="M1087" s="8" t="str">
        <x:v>https://apm.activecommunities.com/portlandparks/Activity_Search/sports-mix---jump-start/208634?locale=en-US</x:v>
      </x:c>
    </x:row>
    <x:row r="1088" ht="38" customHeight="1">
      <x:c r="A1088" s="7" t="str">
        <x:v>208618</x:v>
      </x:c>
      <x:c r="B1088" s="12" t="str">
        <x:v>Sports Mix - Jump Start</x:v>
      </x:c>
      <x:c r="C1088" s="12" t="str">
        <x:v>Mt Scott Cmty Ctr</x:v>
      </x:c>
      <x:c r="D1088" s="12" t="str">
        <x:v>Sports - Sports Mix</x:v>
      </x:c>
      <x:c r="E1088" s="7" t="str">
        <x:v>future</x:v>
      </x:c>
      <x:c r="F1088" s="7" t="str">
        <x:v>2026-10-15</x:v>
      </x:c>
      <x:c r="G1088" s="7" t="str">
        <x:v>2026-10-29</x:v>
      </x:c>
      <x:c r="H1088" s="7" t="n">
        <x:v>4</x:v>
      </x:c>
      <x:c r="I1088" s="7"/>
      <x:c r="J1088" s="7" t="n">
        <x:v>12</x:v>
      </x:c>
      <x:c r="K1088" s="7" t="str">
        <x:v>unverified-denominator</x:v>
      </x:c>
      <x:c r="L1088" s="7" t="d">
        <x:v>2026-09-16T05:12:38.111Z</x:v>
      </x:c>
      <x:c r="M1088" s="7" t="str">
        <x:v>https://apm.activecommunities.com/portlandparks/Activity_Search/sports-mix---jump-start/208618?locale=en-US</x:v>
      </x:c>
    </x:row>
    <x:row r="1089" ht="38" customHeight="1">
      <x:c r="A1089" s="8" t="str">
        <x:v>208575</x:v>
      </x:c>
      <x:c r="B1089" s="11" t="str">
        <x:v>Sports Mix - Jump Start</x:v>
      </x:c>
      <x:c r="C1089" s="11" t="str">
        <x:v>Mt Scott Cmty Ctr</x:v>
      </x:c>
      <x:c r="D1089" s="11" t="str">
        <x:v>Sports - Sports Mix</x:v>
      </x:c>
      <x:c r="E1089" s="8" t="str">
        <x:v>active</x:v>
      </x:c>
      <x:c r="F1089" s="8" t="str">
        <x:v>2026-09-03</x:v>
      </x:c>
      <x:c r="G1089" s="8" t="str">
        <x:v>2026-09-24</x:v>
      </x:c>
      <x:c r="H1089" s="8" t="n">
        <x:v>12</x:v>
      </x:c>
      <x:c r="I1089" s="8" t="n">
        <x:v>1</x:v>
      </x:c>
      <x:c r="J1089" s="8" t="n">
        <x:v>12</x:v>
      </x:c>
      <x:c r="K1089" s="8" t="str">
        <x:v>unverified-denominator</x:v>
      </x:c>
      <x:c r="L1089" s="8" t="d">
        <x:v>2026-09-16T05:12:38.111Z</x:v>
      </x:c>
      <x:c r="M1089" s="8" t="str">
        <x:v>https://apm.activecommunities.com/portlandparks/Activity_Search/sports-mix---jump-start/208575?locale=en-US</x:v>
      </x:c>
    </x:row>
    <x:row r="1090" ht="38" customHeight="1">
      <x:c r="A1090" s="7" t="str">
        <x:v>208624</x:v>
      </x:c>
      <x:c r="B1090" s="12" t="str">
        <x:v>Sports Mix - Little All Stars</x:v>
      </x:c>
      <x:c r="C1090" s="12" t="str">
        <x:v>Charles Jordan Cmty Ctr</x:v>
      </x:c>
      <x:c r="D1090" s="12" t="str">
        <x:v>Sports - Sports Mix</x:v>
      </x:c>
      <x:c r="E1090" s="7" t="str">
        <x:v>future</x:v>
      </x:c>
      <x:c r="F1090" s="7" t="str">
        <x:v>2026-10-03</x:v>
      </x:c>
      <x:c r="G1090" s="7" t="str">
        <x:v>2026-10-31</x:v>
      </x:c>
      <x:c r="H1090" s="7" t="n">
        <x:v>10</x:v>
      </x:c>
      <x:c r="I1090" s="7" t="n">
        <x:v>4</x:v>
      </x:c>
      <x:c r="J1090" s="7" t="n">
        <x:v>10</x:v>
      </x:c>
      <x:c r="K1090" s="7" t="str">
        <x:v>unverified-denominator</x:v>
      </x:c>
      <x:c r="L1090" s="7" t="d">
        <x:v>2026-09-16T05:12:38.111Z</x:v>
      </x:c>
      <x:c r="M1090" s="7" t="str">
        <x:v>https://apm.activecommunities.com/portlandparks/Activity_Search/sports-mix---little-all-stars/208624?locale=en-US</x:v>
      </x:c>
    </x:row>
    <x:row r="1091" ht="38" customHeight="1">
      <x:c r="A1091" s="8" t="str">
        <x:v>208639</x:v>
      </x:c>
      <x:c r="B1091" s="11" t="str">
        <x:v>Sports Mix - Little All Stars</x:v>
      </x:c>
      <x:c r="C1091" s="11" t="str">
        <x:v>Charles Jordan Cmty Ctr</x:v>
      </x:c>
      <x:c r="D1091" s="11" t="str">
        <x:v>Sports - Sports Mix</x:v>
      </x:c>
      <x:c r="E1091" s="8" t="str">
        <x:v>future</x:v>
      </x:c>
      <x:c r="F1091" s="8" t="str">
        <x:v>2026-11-07</x:v>
      </x:c>
      <x:c r="G1091" s="8" t="str">
        <x:v>2026-12-12</x:v>
      </x:c>
      <x:c r="H1091" s="8" t="n">
        <x:v>0</x:v>
      </x:c>
      <x:c r="I1091" s="8"/>
      <x:c r="J1091" s="8" t="n">
        <x:v>10</x:v>
      </x:c>
      <x:c r="K1091" s="8" t="str">
        <x:v>unverified-denominator</x:v>
      </x:c>
      <x:c r="L1091" s="8" t="d">
        <x:v>2026-09-16T05:12:38.111Z</x:v>
      </x:c>
      <x:c r="M1091" s="8" t="str">
        <x:v>https://apm.activecommunities.com/portlandparks/Activity_Search/sports-mix---little-all-stars/208639?locale=en-US</x:v>
      </x:c>
    </x:row>
    <x:row r="1092" ht="38" customHeight="1">
      <x:c r="A1092" s="7" t="str">
        <x:v>208345</x:v>
      </x:c>
      <x:c r="B1092" s="12" t="str">
        <x:v>SWCC  - Teen Beginner</x:v>
      </x:c>
      <x:c r="C1092" s="12" t="str">
        <x:v>Southwest Indoor Pool</x:v>
      </x:c>
      <x:c r="D1092" s="12" t="str">
        <x:v>Aquatics - Lessons</x:v>
      </x:c>
      <x:c r="E1092" s="7" t="str">
        <x:v>future</x:v>
      </x:c>
      <x:c r="F1092" s="7" t="str">
        <x:v>2026-11-02</x:v>
      </x:c>
      <x:c r="G1092" s="7" t="str">
        <x:v>2026-12-09</x:v>
      </x:c>
      <x:c r="H1092" s="7" t="n">
        <x:v>0</x:v>
      </x:c>
      <x:c r="I1092" s="7"/>
      <x:c r="J1092" s="7" t="n">
        <x:v>6</x:v>
      </x:c>
      <x:c r="K1092" s="7" t="str">
        <x:v>unverified-denominator</x:v>
      </x:c>
      <x:c r="L1092" s="7" t="d">
        <x:v>2026-09-16T05:12:38.111Z</x:v>
      </x:c>
      <x:c r="M1092" s="7" t="str">
        <x:v>https://apm.activecommunities.com/portlandparks/Activity_Search/swcc---teen-beginner/208345?locale=en-US</x:v>
      </x:c>
    </x:row>
    <x:row r="1093" ht="38" customHeight="1">
      <x:c r="A1093" s="8" t="str">
        <x:v>208346</x:v>
      </x:c>
      <x:c r="B1093" s="11" t="str">
        <x:v>SWCC - Adult Beginner</x:v>
      </x:c>
      <x:c r="C1093" s="11" t="str">
        <x:v>Southwest Indoor Pool</x:v>
      </x:c>
      <x:c r="D1093" s="11" t="str">
        <x:v>Aquatics - Lessons</x:v>
      </x:c>
      <x:c r="E1093" s="8" t="str">
        <x:v>future</x:v>
      </x:c>
      <x:c r="F1093" s="8" t="str">
        <x:v>2026-11-02</x:v>
      </x:c>
      <x:c r="G1093" s="8" t="str">
        <x:v>2026-12-09</x:v>
      </x:c>
      <x:c r="H1093" s="8" t="n">
        <x:v>0</x:v>
      </x:c>
      <x:c r="I1093" s="8"/>
      <x:c r="J1093" s="8" t="n">
        <x:v>8</x:v>
      </x:c>
      <x:c r="K1093" s="8" t="str">
        <x:v>unverified-denominator</x:v>
      </x:c>
      <x:c r="L1093" s="8" t="d">
        <x:v>2026-09-16T05:12:38.111Z</x:v>
      </x:c>
      <x:c r="M1093" s="8" t="str">
        <x:v>https://apm.activecommunities.com/portlandparks/Activity_Search/swcc---adult-beginner/208346?locale=en-US</x:v>
      </x:c>
    </x:row>
    <x:row r="1094" ht="38" customHeight="1">
      <x:c r="A1094" s="7" t="str">
        <x:v>208347</x:v>
      </x:c>
      <x:c r="B1094" s="12" t="str">
        <x:v>SWCC - Adult Beginner</x:v>
      </x:c>
      <x:c r="C1094" s="12" t="str">
        <x:v>Southwest Indoor Pool</x:v>
      </x:c>
      <x:c r="D1094" s="12" t="str">
        <x:v>Aquatics - Lessons</x:v>
      </x:c>
      <x:c r="E1094" s="7" t="str">
        <x:v>future</x:v>
      </x:c>
      <x:c r="F1094" s="7" t="str">
        <x:v>2026-11-02</x:v>
      </x:c>
      <x:c r="G1094" s="7" t="str">
        <x:v>2026-12-09</x:v>
      </x:c>
      <x:c r="H1094" s="7" t="n">
        <x:v>0</x:v>
      </x:c>
      <x:c r="I1094" s="7"/>
      <x:c r="J1094" s="7" t="n">
        <x:v>8</x:v>
      </x:c>
      <x:c r="K1094" s="7" t="str">
        <x:v>unverified-denominator</x:v>
      </x:c>
      <x:c r="L1094" s="7" t="d">
        <x:v>2026-09-16T05:12:38.111Z</x:v>
      </x:c>
      <x:c r="M1094" s="7" t="str">
        <x:v>https://apm.activecommunities.com/portlandparks/Activity_Search/swcc---adult-beginner/208347?locale=en-US</x:v>
      </x:c>
    </x:row>
    <x:row r="1095" ht="38" customHeight="1">
      <x:c r="A1095" s="8" t="str">
        <x:v>208348</x:v>
      </x:c>
      <x:c r="B1095" s="11" t="str">
        <x:v>SWCC - Adult Stroke Improvement</x:v>
      </x:c>
      <x:c r="C1095" s="11" t="str">
        <x:v>Southwest Indoor Pool</x:v>
      </x:c>
      <x:c r="D1095" s="11" t="str">
        <x:v>Aquatics - Lessons</x:v>
      </x:c>
      <x:c r="E1095" s="8" t="str">
        <x:v>future</x:v>
      </x:c>
      <x:c r="F1095" s="8" t="str">
        <x:v>2026-11-03</x:v>
      </x:c>
      <x:c r="G1095" s="8" t="str">
        <x:v>2026-12-10</x:v>
      </x:c>
      <x:c r="H1095" s="8" t="n">
        <x:v>0</x:v>
      </x:c>
      <x:c r="I1095" s="8"/>
      <x:c r="J1095" s="8" t="n">
        <x:v>8</x:v>
      </x:c>
      <x:c r="K1095" s="8" t="str">
        <x:v>unverified-denominator</x:v>
      </x:c>
      <x:c r="L1095" s="8" t="d">
        <x:v>2026-09-16T05:12:38.111Z</x:v>
      </x:c>
      <x:c r="M1095" s="8" t="str">
        <x:v>https://apm.activecommunities.com/portlandparks/Activity_Search/swcc---adult-stroke-improvement/208348?locale=en-US</x:v>
      </x:c>
    </x:row>
    <x:row r="1096" ht="38" customHeight="1">
      <x:c r="A1096" s="7" t="str">
        <x:v>208349</x:v>
      </x:c>
      <x:c r="B1096" s="12" t="str">
        <x:v>SWCC - Angelfish</x:v>
      </x:c>
      <x:c r="C1096" s="12" t="str">
        <x:v>Southwest Indoor Pool</x:v>
      </x:c>
      <x:c r="D1096" s="12" t="str">
        <x:v>Aquatics - Lessons</x:v>
      </x:c>
      <x:c r="E1096" s="7" t="str">
        <x:v>future</x:v>
      </x:c>
      <x:c r="F1096" s="7" t="str">
        <x:v>2026-11-02</x:v>
      </x:c>
      <x:c r="G1096" s="7" t="str">
        <x:v>2026-12-09</x:v>
      </x:c>
      <x:c r="H1096" s="7" t="n">
        <x:v>0</x:v>
      </x:c>
      <x:c r="I1096" s="7"/>
      <x:c r="J1096" s="7" t="n">
        <x:v>12</x:v>
      </x:c>
      <x:c r="K1096" s="7" t="str">
        <x:v>unverified-denominator</x:v>
      </x:c>
      <x:c r="L1096" s="7" t="d">
        <x:v>2026-09-16T05:12:38.111Z</x:v>
      </x:c>
      <x:c r="M1096" s="7" t="str">
        <x:v>https://apm.activecommunities.com/portlandparks/Activity_Search/swcc---angelfish/208349?locale=en-US</x:v>
      </x:c>
    </x:row>
    <x:row r="1097" ht="38" customHeight="1">
      <x:c r="A1097" s="8" t="str">
        <x:v>208350</x:v>
      </x:c>
      <x:c r="B1097" s="11" t="str">
        <x:v>SWCC - Angelfish</x:v>
      </x:c>
      <x:c r="C1097" s="11" t="str">
        <x:v>Southwest Indoor Pool</x:v>
      </x:c>
      <x:c r="D1097" s="11" t="str">
        <x:v>Aquatics - Lessons</x:v>
      </x:c>
      <x:c r="E1097" s="8" t="str">
        <x:v>future</x:v>
      </x:c>
      <x:c r="F1097" s="8" t="str">
        <x:v>2026-11-02</x:v>
      </x:c>
      <x:c r="G1097" s="8" t="str">
        <x:v>2026-12-09</x:v>
      </x:c>
      <x:c r="H1097" s="8" t="n">
        <x:v>0</x:v>
      </x:c>
      <x:c r="I1097" s="8"/>
      <x:c r="J1097" s="8" t="n">
        <x:v>6</x:v>
      </x:c>
      <x:c r="K1097" s="8" t="str">
        <x:v>unverified-denominator</x:v>
      </x:c>
      <x:c r="L1097" s="8" t="d">
        <x:v>2026-09-16T05:12:38.111Z</x:v>
      </x:c>
      <x:c r="M1097" s="8" t="str">
        <x:v>https://apm.activecommunities.com/portlandparks/Activity_Search/swcc---angelfish/208350?locale=en-US</x:v>
      </x:c>
    </x:row>
    <x:row r="1098" ht="38" customHeight="1">
      <x:c r="A1098" s="7" t="str">
        <x:v>208351</x:v>
      </x:c>
      <x:c r="B1098" s="12" t="str">
        <x:v>SWCC - Angelfish</x:v>
      </x:c>
      <x:c r="C1098" s="12" t="str">
        <x:v>Southwest Indoor Pool</x:v>
      </x:c>
      <x:c r="D1098" s="12" t="str">
        <x:v>Aquatics - Lessons</x:v>
      </x:c>
      <x:c r="E1098" s="7" t="str">
        <x:v>future</x:v>
      </x:c>
      <x:c r="F1098" s="7" t="str">
        <x:v>2026-11-03</x:v>
      </x:c>
      <x:c r="G1098" s="7" t="str">
        <x:v>2026-12-10</x:v>
      </x:c>
      <x:c r="H1098" s="7" t="n">
        <x:v>0</x:v>
      </x:c>
      <x:c r="I1098" s="7"/>
      <x:c r="J1098" s="7" t="n">
        <x:v>12</x:v>
      </x:c>
      <x:c r="K1098" s="7" t="str">
        <x:v>unverified-denominator</x:v>
      </x:c>
      <x:c r="L1098" s="7" t="d">
        <x:v>2026-09-16T05:12:38.111Z</x:v>
      </x:c>
      <x:c r="M1098" s="7" t="str">
        <x:v>https://apm.activecommunities.com/portlandparks/Activity_Search/swcc---angelfish/208351?locale=en-US</x:v>
      </x:c>
    </x:row>
    <x:row r="1099" ht="38" customHeight="1">
      <x:c r="A1099" s="8" t="str">
        <x:v>208352</x:v>
      </x:c>
      <x:c r="B1099" s="11" t="str">
        <x:v>SWCC - Angelfish</x:v>
      </x:c>
      <x:c r="C1099" s="11" t="str">
        <x:v>Southwest Indoor Pool</x:v>
      </x:c>
      <x:c r="D1099" s="11" t="str">
        <x:v>Aquatics - Lessons</x:v>
      </x:c>
      <x:c r="E1099" s="8" t="str">
        <x:v>future</x:v>
      </x:c>
      <x:c r="F1099" s="8" t="str">
        <x:v>2026-11-03</x:v>
      </x:c>
      <x:c r="G1099" s="8" t="str">
        <x:v>2026-12-10</x:v>
      </x:c>
      <x:c r="H1099" s="8" t="n">
        <x:v>0</x:v>
      </x:c>
      <x:c r="I1099" s="8"/>
      <x:c r="J1099" s="8" t="n">
        <x:v>6</x:v>
      </x:c>
      <x:c r="K1099" s="8" t="str">
        <x:v>unverified-denominator</x:v>
      </x:c>
      <x:c r="L1099" s="8" t="d">
        <x:v>2026-09-16T05:12:38.111Z</x:v>
      </x:c>
      <x:c r="M1099" s="8" t="str">
        <x:v>https://apm.activecommunities.com/portlandparks/Activity_Search/swcc---angelfish/208352?locale=en-US</x:v>
      </x:c>
    </x:row>
    <x:row r="1100" ht="38" customHeight="1">
      <x:c r="A1100" s="7" t="str">
        <x:v>208353</x:v>
      </x:c>
      <x:c r="B1100" s="12" t="str">
        <x:v>SWCC - Dolphin</x:v>
      </x:c>
      <x:c r="C1100" s="12" t="str">
        <x:v>Southwest Indoor Pool</x:v>
      </x:c>
      <x:c r="D1100" s="12" t="str">
        <x:v>Aquatics - Lessons</x:v>
      </x:c>
      <x:c r="E1100" s="7" t="str">
        <x:v>future</x:v>
      </x:c>
      <x:c r="F1100" s="7" t="str">
        <x:v>2026-11-03</x:v>
      </x:c>
      <x:c r="G1100" s="7" t="str">
        <x:v>2026-12-10</x:v>
      </x:c>
      <x:c r="H1100" s="7" t="n">
        <x:v>0</x:v>
      </x:c>
      <x:c r="I1100" s="7"/>
      <x:c r="J1100" s="7" t="n">
        <x:v>8</x:v>
      </x:c>
      <x:c r="K1100" s="7" t="str">
        <x:v>unverified-denominator</x:v>
      </x:c>
      <x:c r="L1100" s="7" t="d">
        <x:v>2026-09-16T05:12:38.111Z</x:v>
      </x:c>
      <x:c r="M1100" s="7" t="str">
        <x:v>https://apm.activecommunities.com/portlandparks/Activity_Search/swcc---dolphin/208353?locale=en-US</x:v>
      </x:c>
    </x:row>
    <x:row r="1101" ht="38" customHeight="1">
      <x:c r="A1101" s="8" t="str">
        <x:v>208354</x:v>
      </x:c>
      <x:c r="B1101" s="11" t="str">
        <x:v>SWCC - Goldfish</x:v>
      </x:c>
      <x:c r="C1101" s="11" t="str">
        <x:v>Southwest Indoor Pool</x:v>
      </x:c>
      <x:c r="D1101" s="11" t="str">
        <x:v>Aquatics - Lessons</x:v>
      </x:c>
      <x:c r="E1101" s="8" t="str">
        <x:v>future</x:v>
      </x:c>
      <x:c r="F1101" s="8" t="str">
        <x:v>2026-11-02</x:v>
      </x:c>
      <x:c r="G1101" s="8" t="str">
        <x:v>2026-12-09</x:v>
      </x:c>
      <x:c r="H1101" s="8" t="n">
        <x:v>0</x:v>
      </x:c>
      <x:c r="I1101" s="8"/>
      <x:c r="J1101" s="8" t="n">
        <x:v>5</x:v>
      </x:c>
      <x:c r="K1101" s="8" t="str">
        <x:v>unverified-denominator</x:v>
      </x:c>
      <x:c r="L1101" s="8" t="d">
        <x:v>2026-09-16T05:12:38.111Z</x:v>
      </x:c>
      <x:c r="M1101" s="8" t="str">
        <x:v>https://apm.activecommunities.com/portlandparks/Activity_Search/swcc---goldfish/208354?locale=en-US</x:v>
      </x:c>
    </x:row>
    <x:row r="1102" ht="38" customHeight="1">
      <x:c r="A1102" s="7" t="str">
        <x:v>208355</x:v>
      </x:c>
      <x:c r="B1102" s="12" t="str">
        <x:v>SWCC - Goldfish</x:v>
      </x:c>
      <x:c r="C1102" s="12" t="str">
        <x:v>Southwest Indoor Pool</x:v>
      </x:c>
      <x:c r="D1102" s="12" t="str">
        <x:v>Aquatics - Lessons</x:v>
      </x:c>
      <x:c r="E1102" s="7" t="str">
        <x:v>future</x:v>
      </x:c>
      <x:c r="F1102" s="7" t="str">
        <x:v>2026-11-02</x:v>
      </x:c>
      <x:c r="G1102" s="7" t="str">
        <x:v>2026-12-09</x:v>
      </x:c>
      <x:c r="H1102" s="7" t="n">
        <x:v>0</x:v>
      </x:c>
      <x:c r="I1102" s="7"/>
      <x:c r="J1102" s="7" t="n">
        <x:v>5</x:v>
      </x:c>
      <x:c r="K1102" s="7" t="str">
        <x:v>unverified-denominator</x:v>
      </x:c>
      <x:c r="L1102" s="7" t="d">
        <x:v>2026-09-16T05:12:38.111Z</x:v>
      </x:c>
      <x:c r="M1102" s="7" t="str">
        <x:v>https://apm.activecommunities.com/portlandparks/Activity_Search/swcc---goldfish/208355?locale=en-US</x:v>
      </x:c>
    </x:row>
    <x:row r="1103" ht="38" customHeight="1">
      <x:c r="A1103" s="8" t="str">
        <x:v>208356</x:v>
      </x:c>
      <x:c r="B1103" s="11" t="str">
        <x:v>SWCC - Goldfish</x:v>
      </x:c>
      <x:c r="C1103" s="11" t="str">
        <x:v>Southwest Indoor Pool</x:v>
      </x:c>
      <x:c r="D1103" s="11" t="str">
        <x:v>Aquatics - Lessons</x:v>
      </x:c>
      <x:c r="E1103" s="8" t="str">
        <x:v>future</x:v>
      </x:c>
      <x:c r="F1103" s="8" t="str">
        <x:v>2026-11-02</x:v>
      </x:c>
      <x:c r="G1103" s="8" t="str">
        <x:v>2026-12-09</x:v>
      </x:c>
      <x:c r="H1103" s="8" t="n">
        <x:v>0</x:v>
      </x:c>
      <x:c r="I1103" s="8"/>
      <x:c r="J1103" s="8" t="n">
        <x:v>5</x:v>
      </x:c>
      <x:c r="K1103" s="8" t="str">
        <x:v>unverified-denominator</x:v>
      </x:c>
      <x:c r="L1103" s="8" t="d">
        <x:v>2026-09-16T05:12:38.111Z</x:v>
      </x:c>
      <x:c r="M1103" s="8" t="str">
        <x:v>https://apm.activecommunities.com/portlandparks/Activity_Search/swcc---goldfish/208356?locale=en-US</x:v>
      </x:c>
    </x:row>
    <x:row r="1104" ht="38" customHeight="1">
      <x:c r="A1104" s="7" t="str">
        <x:v>208357</x:v>
      </x:c>
      <x:c r="B1104" s="12" t="str">
        <x:v>SWCC - Goldfish</x:v>
      </x:c>
      <x:c r="C1104" s="12" t="str">
        <x:v>Southwest Indoor Pool</x:v>
      </x:c>
      <x:c r="D1104" s="12" t="str">
        <x:v>Aquatics - Lessons</x:v>
      </x:c>
      <x:c r="E1104" s="7" t="str">
        <x:v>future</x:v>
      </x:c>
      <x:c r="F1104" s="7" t="str">
        <x:v>2026-11-02</x:v>
      </x:c>
      <x:c r="G1104" s="7" t="str">
        <x:v>2026-12-09</x:v>
      </x:c>
      <x:c r="H1104" s="7" t="n">
        <x:v>0</x:v>
      </x:c>
      <x:c r="I1104" s="7"/>
      <x:c r="J1104" s="7" t="n">
        <x:v>5</x:v>
      </x:c>
      <x:c r="K1104" s="7" t="str">
        <x:v>unverified-denominator</x:v>
      </x:c>
      <x:c r="L1104" s="7" t="d">
        <x:v>2026-09-16T05:12:38.111Z</x:v>
      </x:c>
      <x:c r="M1104" s="7" t="str">
        <x:v>https://apm.activecommunities.com/portlandparks/Activity_Search/swcc---goldfish/208357?locale=en-US</x:v>
      </x:c>
    </x:row>
    <x:row r="1105" ht="38" customHeight="1">
      <x:c r="A1105" s="8" t="str">
        <x:v>208358</x:v>
      </x:c>
      <x:c r="B1105" s="11" t="str">
        <x:v>SWCC - Goldfish</x:v>
      </x:c>
      <x:c r="C1105" s="11" t="str">
        <x:v>Southwest Indoor Pool</x:v>
      </x:c>
      <x:c r="D1105" s="11" t="str">
        <x:v>Aquatics - Lessons</x:v>
      </x:c>
      <x:c r="E1105" s="8" t="str">
        <x:v>future</x:v>
      </x:c>
      <x:c r="F1105" s="8" t="str">
        <x:v>2026-11-02</x:v>
      </x:c>
      <x:c r="G1105" s="8" t="str">
        <x:v>2026-12-09</x:v>
      </x:c>
      <x:c r="H1105" s="8" t="n">
        <x:v>0</x:v>
      </x:c>
      <x:c r="I1105" s="8"/>
      <x:c r="J1105" s="8" t="n">
        <x:v>5</x:v>
      </x:c>
      <x:c r="K1105" s="8" t="str">
        <x:v>unverified-denominator</x:v>
      </x:c>
      <x:c r="L1105" s="8" t="d">
        <x:v>2026-09-16T05:12:38.111Z</x:v>
      </x:c>
      <x:c r="M1105" s="8" t="str">
        <x:v>https://apm.activecommunities.com/portlandparks/Activity_Search/swcc---goldfish/208358?locale=en-US</x:v>
      </x:c>
    </x:row>
    <x:row r="1106" ht="38" customHeight="1">
      <x:c r="A1106" s="7" t="str">
        <x:v>208359</x:v>
      </x:c>
      <x:c r="B1106" s="12" t="str">
        <x:v>SWCC - Goldfish</x:v>
      </x:c>
      <x:c r="C1106" s="12" t="str">
        <x:v>Southwest Indoor Pool</x:v>
      </x:c>
      <x:c r="D1106" s="12" t="str">
        <x:v>Aquatics - Lessons</x:v>
      </x:c>
      <x:c r="E1106" s="7" t="str">
        <x:v>future</x:v>
      </x:c>
      <x:c r="F1106" s="7" t="str">
        <x:v>2026-11-03</x:v>
      </x:c>
      <x:c r="G1106" s="7" t="str">
        <x:v>2026-12-10</x:v>
      </x:c>
      <x:c r="H1106" s="7" t="n">
        <x:v>0</x:v>
      </x:c>
      <x:c r="I1106" s="7"/>
      <x:c r="J1106" s="7" t="n">
        <x:v>5</x:v>
      </x:c>
      <x:c r="K1106" s="7" t="str">
        <x:v>unverified-denominator</x:v>
      </x:c>
      <x:c r="L1106" s="7" t="d">
        <x:v>2026-09-16T05:12:38.111Z</x:v>
      </x:c>
      <x:c r="M1106" s="7" t="str">
        <x:v>https://apm.activecommunities.com/portlandparks/Activity_Search/swcc---goldfish/208359?locale=en-US</x:v>
      </x:c>
    </x:row>
    <x:row r="1107" ht="38" customHeight="1">
      <x:c r="A1107" s="8" t="str">
        <x:v>208360</x:v>
      </x:c>
      <x:c r="B1107" s="11" t="str">
        <x:v>SWCC - Goldfish</x:v>
      </x:c>
      <x:c r="C1107" s="11" t="str">
        <x:v>Southwest Indoor Pool</x:v>
      </x:c>
      <x:c r="D1107" s="11" t="str">
        <x:v>Aquatics - Lessons</x:v>
      </x:c>
      <x:c r="E1107" s="8" t="str">
        <x:v>future</x:v>
      </x:c>
      <x:c r="F1107" s="8" t="str">
        <x:v>2026-11-03</x:v>
      </x:c>
      <x:c r="G1107" s="8" t="str">
        <x:v>2026-12-10</x:v>
      </x:c>
      <x:c r="H1107" s="8" t="n">
        <x:v>0</x:v>
      </x:c>
      <x:c r="I1107" s="8"/>
      <x:c r="J1107" s="8" t="n">
        <x:v>5</x:v>
      </x:c>
      <x:c r="K1107" s="8" t="str">
        <x:v>unverified-denominator</x:v>
      </x:c>
      <x:c r="L1107" s="8" t="d">
        <x:v>2026-09-16T05:12:38.111Z</x:v>
      </x:c>
      <x:c r="M1107" s="8" t="str">
        <x:v>https://apm.activecommunities.com/portlandparks/Activity_Search/swcc---goldfish/208360?locale=en-US</x:v>
      </x:c>
    </x:row>
    <x:row r="1108" ht="38" customHeight="1">
      <x:c r="A1108" s="7" t="str">
        <x:v>208361</x:v>
      </x:c>
      <x:c r="B1108" s="12" t="str">
        <x:v>SWCC - Goldfish</x:v>
      </x:c>
      <x:c r="C1108" s="12" t="str">
        <x:v>Southwest Indoor Pool</x:v>
      </x:c>
      <x:c r="D1108" s="12" t="str">
        <x:v>Aquatics - Lessons</x:v>
      </x:c>
      <x:c r="E1108" s="7" t="str">
        <x:v>future</x:v>
      </x:c>
      <x:c r="F1108" s="7" t="str">
        <x:v>2026-11-03</x:v>
      </x:c>
      <x:c r="G1108" s="7" t="str">
        <x:v>2026-12-10</x:v>
      </x:c>
      <x:c r="H1108" s="7" t="n">
        <x:v>0</x:v>
      </x:c>
      <x:c r="I1108" s="7"/>
      <x:c r="J1108" s="7" t="n">
        <x:v>5</x:v>
      </x:c>
      <x:c r="K1108" s="7" t="str">
        <x:v>unverified-denominator</x:v>
      </x:c>
      <x:c r="L1108" s="7" t="d">
        <x:v>2026-09-16T05:12:38.111Z</x:v>
      </x:c>
      <x:c r="M1108" s="7" t="str">
        <x:v>https://apm.activecommunities.com/portlandparks/Activity_Search/swcc---goldfish/208361?locale=en-US</x:v>
      </x:c>
    </x:row>
    <x:row r="1109" ht="38" customHeight="1">
      <x:c r="A1109" s="8" t="str">
        <x:v>208362</x:v>
      </x:c>
      <x:c r="B1109" s="11" t="str">
        <x:v>SWCC - Goldfish</x:v>
      </x:c>
      <x:c r="C1109" s="11" t="str">
        <x:v>Southwest Indoor Pool</x:v>
      </x:c>
      <x:c r="D1109" s="11" t="str">
        <x:v>Aquatics - Lessons</x:v>
      </x:c>
      <x:c r="E1109" s="8" t="str">
        <x:v>future</x:v>
      </x:c>
      <x:c r="F1109" s="8" t="str">
        <x:v>2026-11-03</x:v>
      </x:c>
      <x:c r="G1109" s="8" t="str">
        <x:v>2026-12-10</x:v>
      </x:c>
      <x:c r="H1109" s="8" t="n">
        <x:v>0</x:v>
      </x:c>
      <x:c r="I1109" s="8"/>
      <x:c r="J1109" s="8" t="n">
        <x:v>5</x:v>
      </x:c>
      <x:c r="K1109" s="8" t="str">
        <x:v>unverified-denominator</x:v>
      </x:c>
      <x:c r="L1109" s="8" t="d">
        <x:v>2026-09-16T05:12:38.111Z</x:v>
      </x:c>
      <x:c r="M1109" s="8" t="str">
        <x:v>https://apm.activecommunities.com/portlandparks/Activity_Search/swcc---goldfish/208362?locale=en-US</x:v>
      </x:c>
    </x:row>
    <x:row r="1110" ht="38" customHeight="1">
      <x:c r="A1110" s="7" t="str">
        <x:v>208363</x:v>
      </x:c>
      <x:c r="B1110" s="12" t="str">
        <x:v>SWCC - Goldfish</x:v>
      </x:c>
      <x:c r="C1110" s="12" t="str">
        <x:v>Southwest Indoor Pool</x:v>
      </x:c>
      <x:c r="D1110" s="12" t="str">
        <x:v>Aquatics - Lessons</x:v>
      </x:c>
      <x:c r="E1110" s="7" t="str">
        <x:v>future</x:v>
      </x:c>
      <x:c r="F1110" s="7" t="str">
        <x:v>2026-11-03</x:v>
      </x:c>
      <x:c r="G1110" s="7" t="str">
        <x:v>2026-12-10</x:v>
      </x:c>
      <x:c r="H1110" s="7" t="n">
        <x:v>0</x:v>
      </x:c>
      <x:c r="I1110" s="7"/>
      <x:c r="J1110" s="7" t="n">
        <x:v>5</x:v>
      </x:c>
      <x:c r="K1110" s="7" t="str">
        <x:v>unverified-denominator</x:v>
      </x:c>
      <x:c r="L1110" s="7" t="d">
        <x:v>2026-09-16T05:12:38.111Z</x:v>
      </x:c>
      <x:c r="M1110" s="7" t="str">
        <x:v>https://apm.activecommunities.com/portlandparks/Activity_Search/swcc---goldfish/208363?locale=en-US</x:v>
      </x:c>
    </x:row>
    <x:row r="1111" ht="38" customHeight="1">
      <x:c r="A1111" s="8" t="str">
        <x:v>208364</x:v>
      </x:c>
      <x:c r="B1111" s="11" t="str">
        <x:v>SWCC - Otter</x:v>
      </x:c>
      <x:c r="C1111" s="11" t="str">
        <x:v>Southwest Indoor Pool</x:v>
      </x:c>
      <x:c r="D1111" s="11" t="str">
        <x:v>Aquatics - Lessons</x:v>
      </x:c>
      <x:c r="E1111" s="8" t="str">
        <x:v>future</x:v>
      </x:c>
      <x:c r="F1111" s="8" t="str">
        <x:v>2026-11-02</x:v>
      </x:c>
      <x:c r="G1111" s="8" t="str">
        <x:v>2026-12-09</x:v>
      </x:c>
      <x:c r="H1111" s="8" t="n">
        <x:v>0</x:v>
      </x:c>
      <x:c r="I1111" s="8"/>
      <x:c r="J1111" s="8" t="n">
        <x:v>6</x:v>
      </x:c>
      <x:c r="K1111" s="8" t="str">
        <x:v>unverified-denominator</x:v>
      </x:c>
      <x:c r="L1111" s="8" t="d">
        <x:v>2026-09-16T05:12:38.111Z</x:v>
      </x:c>
      <x:c r="M1111" s="8" t="str">
        <x:v>https://apm.activecommunities.com/portlandparks/Activity_Search/swcc---otter/208364?locale=en-US</x:v>
      </x:c>
    </x:row>
    <x:row r="1112" ht="38" customHeight="1">
      <x:c r="A1112" s="7" t="str">
        <x:v>208365</x:v>
      </x:c>
      <x:c r="B1112" s="12" t="str">
        <x:v>SWCC - Otter</x:v>
      </x:c>
      <x:c r="C1112" s="12" t="str">
        <x:v>Southwest Indoor Pool</x:v>
      </x:c>
      <x:c r="D1112" s="12" t="str">
        <x:v>Aquatics - Lessons</x:v>
      </x:c>
      <x:c r="E1112" s="7" t="str">
        <x:v>future</x:v>
      </x:c>
      <x:c r="F1112" s="7" t="str">
        <x:v>2026-11-03</x:v>
      </x:c>
      <x:c r="G1112" s="7" t="str">
        <x:v>2026-12-10</x:v>
      </x:c>
      <x:c r="H1112" s="7" t="n">
        <x:v>0</x:v>
      </x:c>
      <x:c r="I1112" s="7"/>
      <x:c r="J1112" s="7" t="n">
        <x:v>6</x:v>
      </x:c>
      <x:c r="K1112" s="7" t="str">
        <x:v>unverified-denominator</x:v>
      </x:c>
      <x:c r="L1112" s="7" t="d">
        <x:v>2026-09-16T05:12:38.111Z</x:v>
      </x:c>
      <x:c r="M1112" s="7" t="str">
        <x:v>https://apm.activecommunities.com/portlandparks/Activity_Search/swcc---otter/208365?locale=en-US</x:v>
      </x:c>
    </x:row>
    <x:row r="1113" ht="38" customHeight="1">
      <x:c r="A1113" s="8" t="str">
        <x:v>208366</x:v>
      </x:c>
      <x:c r="B1113" s="11" t="str">
        <x:v>SWCC - Otter</x:v>
      </x:c>
      <x:c r="C1113" s="11" t="str">
        <x:v>Southwest Indoor Pool</x:v>
      </x:c>
      <x:c r="D1113" s="11" t="str">
        <x:v>Aquatics - Lessons</x:v>
      </x:c>
      <x:c r="E1113" s="8" t="str">
        <x:v>future</x:v>
      </x:c>
      <x:c r="F1113" s="8" t="str">
        <x:v>2026-11-03</x:v>
      </x:c>
      <x:c r="G1113" s="8" t="str">
        <x:v>2026-12-10</x:v>
      </x:c>
      <x:c r="H1113" s="8" t="n">
        <x:v>0</x:v>
      </x:c>
      <x:c r="I1113" s="8"/>
      <x:c r="J1113" s="8" t="n">
        <x:v>6</x:v>
      </x:c>
      <x:c r="K1113" s="8" t="str">
        <x:v>unverified-denominator</x:v>
      </x:c>
      <x:c r="L1113" s="8" t="d">
        <x:v>2026-09-16T05:12:38.111Z</x:v>
      </x:c>
      <x:c r="M1113" s="8" t="str">
        <x:v>https://apm.activecommunities.com/portlandparks/Activity_Search/swcc---otter/208366?locale=en-US</x:v>
      </x:c>
    </x:row>
    <x:row r="1114" ht="38" customHeight="1">
      <x:c r="A1114" s="7" t="str">
        <x:v>208367</x:v>
      </x:c>
      <x:c r="B1114" s="12" t="str">
        <x:v>SWCC - Penguin</x:v>
      </x:c>
      <x:c r="C1114" s="12" t="str">
        <x:v>Southwest Indoor Pool</x:v>
      </x:c>
      <x:c r="D1114" s="12" t="str">
        <x:v>Aquatics - Lessons</x:v>
      </x:c>
      <x:c r="E1114" s="7" t="str">
        <x:v>future</x:v>
      </x:c>
      <x:c r="F1114" s="7" t="str">
        <x:v>2026-11-02</x:v>
      </x:c>
      <x:c r="G1114" s="7" t="str">
        <x:v>2026-12-09</x:v>
      </x:c>
      <x:c r="H1114" s="7" t="n">
        <x:v>0</x:v>
      </x:c>
      <x:c r="I1114" s="7"/>
      <x:c r="J1114" s="7" t="n">
        <x:v>5</x:v>
      </x:c>
      <x:c r="K1114" s="7" t="str">
        <x:v>unverified-denominator</x:v>
      </x:c>
      <x:c r="L1114" s="7" t="d">
        <x:v>2026-09-16T05:12:38.111Z</x:v>
      </x:c>
      <x:c r="M1114" s="7" t="str">
        <x:v>https://apm.activecommunities.com/portlandparks/Activity_Search/swcc---penguin/208367?locale=en-US</x:v>
      </x:c>
    </x:row>
    <x:row r="1115" ht="38" customHeight="1">
      <x:c r="A1115" s="8" t="str">
        <x:v>208368</x:v>
      </x:c>
      <x:c r="B1115" s="11" t="str">
        <x:v>SWCC - Penguin</x:v>
      </x:c>
      <x:c r="C1115" s="11" t="str">
        <x:v>Southwest Indoor Pool</x:v>
      </x:c>
      <x:c r="D1115" s="11" t="str">
        <x:v>Aquatics - Lessons</x:v>
      </x:c>
      <x:c r="E1115" s="8" t="str">
        <x:v>future</x:v>
      </x:c>
      <x:c r="F1115" s="8" t="str">
        <x:v>2026-11-02</x:v>
      </x:c>
      <x:c r="G1115" s="8" t="str">
        <x:v>2026-12-09</x:v>
      </x:c>
      <x:c r="H1115" s="8" t="n">
        <x:v>0</x:v>
      </x:c>
      <x:c r="I1115" s="8"/>
      <x:c r="J1115" s="8" t="n">
        <x:v>5</x:v>
      </x:c>
      <x:c r="K1115" s="8" t="str">
        <x:v>unverified-denominator</x:v>
      </x:c>
      <x:c r="L1115" s="8" t="d">
        <x:v>2026-09-16T05:12:38.111Z</x:v>
      </x:c>
      <x:c r="M1115" s="8" t="str">
        <x:v>https://apm.activecommunities.com/portlandparks/Activity_Search/swcc---penguin/208368?locale=en-US</x:v>
      </x:c>
    </x:row>
    <x:row r="1116" ht="38" customHeight="1">
      <x:c r="A1116" s="7" t="str">
        <x:v>208369</x:v>
      </x:c>
      <x:c r="B1116" s="12" t="str">
        <x:v>SWCC - Penguin</x:v>
      </x:c>
      <x:c r="C1116" s="12" t="str">
        <x:v>Southwest Indoor Pool</x:v>
      </x:c>
      <x:c r="D1116" s="12" t="str">
        <x:v>Aquatics - Lessons</x:v>
      </x:c>
      <x:c r="E1116" s="7" t="str">
        <x:v>future</x:v>
      </x:c>
      <x:c r="F1116" s="7" t="str">
        <x:v>2026-11-03</x:v>
      </x:c>
      <x:c r="G1116" s="7" t="str">
        <x:v>2026-12-10</x:v>
      </x:c>
      <x:c r="H1116" s="7" t="n">
        <x:v>0</x:v>
      </x:c>
      <x:c r="I1116" s="7"/>
      <x:c r="J1116" s="7" t="n">
        <x:v>5</x:v>
      </x:c>
      <x:c r="K1116" s="7" t="str">
        <x:v>unverified-denominator</x:v>
      </x:c>
      <x:c r="L1116" s="7" t="d">
        <x:v>2026-09-16T05:12:38.111Z</x:v>
      </x:c>
      <x:c r="M1116" s="7" t="str">
        <x:v>https://apm.activecommunities.com/portlandparks/Activity_Search/swcc---penguin/208369?locale=en-US</x:v>
      </x:c>
    </x:row>
    <x:row r="1117" ht="38" customHeight="1">
      <x:c r="A1117" s="8" t="str">
        <x:v>208370</x:v>
      </x:c>
      <x:c r="B1117" s="11" t="str">
        <x:v>SWCC - Penguin</x:v>
      </x:c>
      <x:c r="C1117" s="11" t="str">
        <x:v>Southwest Indoor Pool</x:v>
      </x:c>
      <x:c r="D1117" s="11" t="str">
        <x:v>Aquatics - Lessons</x:v>
      </x:c>
      <x:c r="E1117" s="8" t="str">
        <x:v>future</x:v>
      </x:c>
      <x:c r="F1117" s="8" t="str">
        <x:v>2026-11-03</x:v>
      </x:c>
      <x:c r="G1117" s="8" t="str">
        <x:v>2026-12-10</x:v>
      </x:c>
      <x:c r="H1117" s="8" t="n">
        <x:v>0</x:v>
      </x:c>
      <x:c r="I1117" s="8"/>
      <x:c r="J1117" s="8" t="n">
        <x:v>5</x:v>
      </x:c>
      <x:c r="K1117" s="8" t="str">
        <x:v>unverified-denominator</x:v>
      </x:c>
      <x:c r="L1117" s="8" t="d">
        <x:v>2026-09-16T05:12:38.111Z</x:v>
      </x:c>
      <x:c r="M1117" s="8" t="str">
        <x:v>https://apm.activecommunities.com/portlandparks/Activity_Search/swcc---penguin/208370?locale=en-US</x:v>
      </x:c>
    </x:row>
    <x:row r="1118" ht="38" customHeight="1">
      <x:c r="A1118" s="7" t="str">
        <x:v>208371</x:v>
      </x:c>
      <x:c r="B1118" s="12" t="str">
        <x:v>SWCC - Polar Bear</x:v>
      </x:c>
      <x:c r="C1118" s="12" t="str">
        <x:v>Southwest Indoor Pool</x:v>
      </x:c>
      <x:c r="D1118" s="12" t="str">
        <x:v>Aquatics - Lessons</x:v>
      </x:c>
      <x:c r="E1118" s="7" t="str">
        <x:v>future</x:v>
      </x:c>
      <x:c r="F1118" s="7" t="str">
        <x:v>2026-11-02</x:v>
      </x:c>
      <x:c r="G1118" s="7" t="str">
        <x:v>2026-12-09</x:v>
      </x:c>
      <x:c r="H1118" s="7" t="n">
        <x:v>0</x:v>
      </x:c>
      <x:c r="I1118" s="7"/>
      <x:c r="J1118" s="7" t="n">
        <x:v>6</x:v>
      </x:c>
      <x:c r="K1118" s="7" t="str">
        <x:v>unverified-denominator</x:v>
      </x:c>
      <x:c r="L1118" s="7" t="d">
        <x:v>2026-09-16T05:12:38.111Z</x:v>
      </x:c>
      <x:c r="M1118" s="7" t="str">
        <x:v>https://apm.activecommunities.com/portlandparks/Activity_Search/swcc---polar-bear/208371?locale=en-US</x:v>
      </x:c>
    </x:row>
    <x:row r="1119" ht="38" customHeight="1">
      <x:c r="A1119" s="8" t="str">
        <x:v>208372</x:v>
      </x:c>
      <x:c r="B1119" s="11" t="str">
        <x:v>SWCC - Polar Bear</x:v>
      </x:c>
      <x:c r="C1119" s="11" t="str">
        <x:v>Southwest Indoor Pool</x:v>
      </x:c>
      <x:c r="D1119" s="11" t="str">
        <x:v>Aquatics - Lessons</x:v>
      </x:c>
      <x:c r="E1119" s="8" t="str">
        <x:v>future</x:v>
      </x:c>
      <x:c r="F1119" s="8" t="str">
        <x:v>2026-11-03</x:v>
      </x:c>
      <x:c r="G1119" s="8" t="str">
        <x:v>2026-12-10</x:v>
      </x:c>
      <x:c r="H1119" s="8" t="n">
        <x:v>0</x:v>
      </x:c>
      <x:c r="I1119" s="8"/>
      <x:c r="J1119" s="8" t="n">
        <x:v>6</x:v>
      </x:c>
      <x:c r="K1119" s="8" t="str">
        <x:v>unverified-denominator</x:v>
      </x:c>
      <x:c r="L1119" s="8" t="d">
        <x:v>2026-09-16T05:12:38.111Z</x:v>
      </x:c>
      <x:c r="M1119" s="8" t="str">
        <x:v>https://apm.activecommunities.com/portlandparks/Activity_Search/swcc---polar-bear/208372?locale=en-US</x:v>
      </x:c>
    </x:row>
    <x:row r="1120" ht="38" customHeight="1">
      <x:c r="A1120" s="7" t="str">
        <x:v>208373</x:v>
      </x:c>
      <x:c r="B1120" s="12" t="str">
        <x:v>SWCC - Pre - Otter</x:v>
      </x:c>
      <x:c r="C1120" s="12" t="str">
        <x:v>Southwest Indoor Pool</x:v>
      </x:c>
      <x:c r="D1120" s="12" t="str">
        <x:v>Aquatics - Lessons</x:v>
      </x:c>
      <x:c r="E1120" s="7" t="str">
        <x:v>future</x:v>
      </x:c>
      <x:c r="F1120" s="7" t="str">
        <x:v>2026-11-02</x:v>
      </x:c>
      <x:c r="G1120" s="7" t="str">
        <x:v>2026-12-09</x:v>
      </x:c>
      <x:c r="H1120" s="7" t="n">
        <x:v>0</x:v>
      </x:c>
      <x:c r="I1120" s="7"/>
      <x:c r="J1120" s="7" t="n">
        <x:v>5</x:v>
      </x:c>
      <x:c r="K1120" s="7" t="str">
        <x:v>unverified-denominator</x:v>
      </x:c>
      <x:c r="L1120" s="7" t="d">
        <x:v>2026-09-16T05:12:38.111Z</x:v>
      </x:c>
      <x:c r="M1120" s="7" t="str">
        <x:v>https://apm.activecommunities.com/portlandparks/Activity_Search/swcc---pre---otter/208373?locale=en-US</x:v>
      </x:c>
    </x:row>
    <x:row r="1121" ht="38" customHeight="1">
      <x:c r="A1121" s="8" t="str">
        <x:v>208374</x:v>
      </x:c>
      <x:c r="B1121" s="11" t="str">
        <x:v>SWCC - Pre - Otter</x:v>
      </x:c>
      <x:c r="C1121" s="11" t="str">
        <x:v>Southwest Indoor Pool</x:v>
      </x:c>
      <x:c r="D1121" s="11" t="str">
        <x:v>Aquatics - Lessons</x:v>
      </x:c>
      <x:c r="E1121" s="8" t="str">
        <x:v>future</x:v>
      </x:c>
      <x:c r="F1121" s="8" t="str">
        <x:v>2026-11-02</x:v>
      </x:c>
      <x:c r="G1121" s="8" t="str">
        <x:v>2026-12-09</x:v>
      </x:c>
      <x:c r="H1121" s="8" t="n">
        <x:v>0</x:v>
      </x:c>
      <x:c r="I1121" s="8"/>
      <x:c r="J1121" s="8" t="n">
        <x:v>5</x:v>
      </x:c>
      <x:c r="K1121" s="8" t="str">
        <x:v>unverified-denominator</x:v>
      </x:c>
      <x:c r="L1121" s="8" t="d">
        <x:v>2026-09-16T05:12:38.111Z</x:v>
      </x:c>
      <x:c r="M1121" s="8" t="str">
        <x:v>https://apm.activecommunities.com/portlandparks/Activity_Search/swcc---pre---otter/208374?locale=en-US</x:v>
      </x:c>
    </x:row>
    <x:row r="1122" ht="38" customHeight="1">
      <x:c r="A1122" s="7" t="str">
        <x:v>208375</x:v>
      </x:c>
      <x:c r="B1122" s="12" t="str">
        <x:v>SWCC - Pre - Otter</x:v>
      </x:c>
      <x:c r="C1122" s="12" t="str">
        <x:v>Southwest Indoor Pool</x:v>
      </x:c>
      <x:c r="D1122" s="12" t="str">
        <x:v>Aquatics - Lessons</x:v>
      </x:c>
      <x:c r="E1122" s="7" t="str">
        <x:v>future</x:v>
      </x:c>
      <x:c r="F1122" s="7" t="str">
        <x:v>2026-11-02</x:v>
      </x:c>
      <x:c r="G1122" s="7" t="str">
        <x:v>2026-12-09</x:v>
      </x:c>
      <x:c r="H1122" s="7" t="n">
        <x:v>0</x:v>
      </x:c>
      <x:c r="I1122" s="7"/>
      <x:c r="J1122" s="7" t="n">
        <x:v>5</x:v>
      </x:c>
      <x:c r="K1122" s="7" t="str">
        <x:v>unverified-denominator</x:v>
      </x:c>
      <x:c r="L1122" s="7" t="d">
        <x:v>2026-09-16T05:12:38.111Z</x:v>
      </x:c>
      <x:c r="M1122" s="7" t="str">
        <x:v>https://apm.activecommunities.com/portlandparks/Activity_Search/swcc---pre---otter/208375?locale=en-US</x:v>
      </x:c>
    </x:row>
    <x:row r="1123" ht="38" customHeight="1">
      <x:c r="A1123" s="8" t="str">
        <x:v>208376</x:v>
      </x:c>
      <x:c r="B1123" s="11" t="str">
        <x:v>SWCC - Pre - Otter</x:v>
      </x:c>
      <x:c r="C1123" s="11" t="str">
        <x:v>Southwest Indoor Pool</x:v>
      </x:c>
      <x:c r="D1123" s="11" t="str">
        <x:v>Aquatics - Lessons</x:v>
      </x:c>
      <x:c r="E1123" s="8" t="str">
        <x:v>future</x:v>
      </x:c>
      <x:c r="F1123" s="8" t="str">
        <x:v>2026-11-02</x:v>
      </x:c>
      <x:c r="G1123" s="8" t="str">
        <x:v>2026-12-09</x:v>
      </x:c>
      <x:c r="H1123" s="8" t="n">
        <x:v>0</x:v>
      </x:c>
      <x:c r="I1123" s="8"/>
      <x:c r="J1123" s="8" t="n">
        <x:v>5</x:v>
      </x:c>
      <x:c r="K1123" s="8" t="str">
        <x:v>unverified-denominator</x:v>
      </x:c>
      <x:c r="L1123" s="8" t="d">
        <x:v>2026-09-16T05:12:38.111Z</x:v>
      </x:c>
      <x:c r="M1123" s="8" t="str">
        <x:v>https://apm.activecommunities.com/portlandparks/Activity_Search/swcc---pre---otter/208376?locale=en-US</x:v>
      </x:c>
    </x:row>
    <x:row r="1124" ht="38" customHeight="1">
      <x:c r="A1124" s="7" t="str">
        <x:v>208377</x:v>
      </x:c>
      <x:c r="B1124" s="12" t="str">
        <x:v>SWCC - Pre - Otter</x:v>
      </x:c>
      <x:c r="C1124" s="12" t="str">
        <x:v>Southwest Indoor Pool</x:v>
      </x:c>
      <x:c r="D1124" s="12" t="str">
        <x:v>Aquatics - Lessons</x:v>
      </x:c>
      <x:c r="E1124" s="7" t="str">
        <x:v>future</x:v>
      </x:c>
      <x:c r="F1124" s="7" t="str">
        <x:v>2026-11-03</x:v>
      </x:c>
      <x:c r="G1124" s="7" t="str">
        <x:v>2026-12-10</x:v>
      </x:c>
      <x:c r="H1124" s="7" t="n">
        <x:v>0</x:v>
      </x:c>
      <x:c r="I1124" s="7"/>
      <x:c r="J1124" s="7" t="n">
        <x:v>5</x:v>
      </x:c>
      <x:c r="K1124" s="7" t="str">
        <x:v>unverified-denominator</x:v>
      </x:c>
      <x:c r="L1124" s="7" t="d">
        <x:v>2026-09-16T05:12:38.111Z</x:v>
      </x:c>
      <x:c r="M1124" s="7" t="str">
        <x:v>https://apm.activecommunities.com/portlandparks/Activity_Search/swcc---pre---otter/208377?locale=en-US</x:v>
      </x:c>
    </x:row>
    <x:row r="1125" ht="38" customHeight="1">
      <x:c r="A1125" s="8" t="str">
        <x:v>208378</x:v>
      </x:c>
      <x:c r="B1125" s="11" t="str">
        <x:v>SWCC - Pre - Otter</x:v>
      </x:c>
      <x:c r="C1125" s="11" t="str">
        <x:v>Southwest Indoor Pool</x:v>
      </x:c>
      <x:c r="D1125" s="11" t="str">
        <x:v>Aquatics - Lessons</x:v>
      </x:c>
      <x:c r="E1125" s="8" t="str">
        <x:v>future</x:v>
      </x:c>
      <x:c r="F1125" s="8" t="str">
        <x:v>2026-11-03</x:v>
      </x:c>
      <x:c r="G1125" s="8" t="str">
        <x:v>2026-12-10</x:v>
      </x:c>
      <x:c r="H1125" s="8" t="n">
        <x:v>0</x:v>
      </x:c>
      <x:c r="I1125" s="8"/>
      <x:c r="J1125" s="8" t="n">
        <x:v>5</x:v>
      </x:c>
      <x:c r="K1125" s="8" t="str">
        <x:v>unverified-denominator</x:v>
      </x:c>
      <x:c r="L1125" s="8" t="d">
        <x:v>2026-09-16T05:12:38.111Z</x:v>
      </x:c>
      <x:c r="M1125" s="8" t="str">
        <x:v>https://apm.activecommunities.com/portlandparks/Activity_Search/swcc---pre---otter/208378?locale=en-US</x:v>
      </x:c>
    </x:row>
    <x:row r="1126" ht="38" customHeight="1">
      <x:c r="A1126" s="7" t="str">
        <x:v>208379</x:v>
      </x:c>
      <x:c r="B1126" s="12" t="str">
        <x:v>SWCC - Pre - Penguin</x:v>
      </x:c>
      <x:c r="C1126" s="12" t="str">
        <x:v>Southwest Indoor Pool</x:v>
      </x:c>
      <x:c r="D1126" s="12" t="str">
        <x:v>Aquatics - Lessons</x:v>
      </x:c>
      <x:c r="E1126" s="7" t="str">
        <x:v>future</x:v>
      </x:c>
      <x:c r="F1126" s="7" t="str">
        <x:v>2026-11-02</x:v>
      </x:c>
      <x:c r="G1126" s="7" t="str">
        <x:v>2026-12-09</x:v>
      </x:c>
      <x:c r="H1126" s="7" t="n">
        <x:v>0</x:v>
      </x:c>
      <x:c r="I1126" s="7"/>
      <x:c r="J1126" s="7" t="n">
        <x:v>5</x:v>
      </x:c>
      <x:c r="K1126" s="7" t="str">
        <x:v>unverified-denominator</x:v>
      </x:c>
      <x:c r="L1126" s="7" t="d">
        <x:v>2026-09-16T05:12:38.111Z</x:v>
      </x:c>
      <x:c r="M1126" s="7" t="str">
        <x:v>https://apm.activecommunities.com/portlandparks/Activity_Search/swcc---pre---penguin/208379?locale=en-US</x:v>
      </x:c>
    </x:row>
    <x:row r="1127" ht="38" customHeight="1">
      <x:c r="A1127" s="8" t="str">
        <x:v>208380</x:v>
      </x:c>
      <x:c r="B1127" s="11" t="str">
        <x:v>SWCC - Pre - Penguin</x:v>
      </x:c>
      <x:c r="C1127" s="11" t="str">
        <x:v>Southwest Indoor Pool</x:v>
      </x:c>
      <x:c r="D1127" s="11" t="str">
        <x:v>Aquatics - Lessons</x:v>
      </x:c>
      <x:c r="E1127" s="8" t="str">
        <x:v>future</x:v>
      </x:c>
      <x:c r="F1127" s="8" t="str">
        <x:v>2026-11-02</x:v>
      </x:c>
      <x:c r="G1127" s="8" t="str">
        <x:v>2026-12-09</x:v>
      </x:c>
      <x:c r="H1127" s="8" t="n">
        <x:v>0</x:v>
      </x:c>
      <x:c r="I1127" s="8"/>
      <x:c r="J1127" s="8" t="n">
        <x:v>5</x:v>
      </x:c>
      <x:c r="K1127" s="8" t="str">
        <x:v>unverified-denominator</x:v>
      </x:c>
      <x:c r="L1127" s="8" t="d">
        <x:v>2026-09-16T05:12:38.111Z</x:v>
      </x:c>
      <x:c r="M1127" s="8" t="str">
        <x:v>https://apm.activecommunities.com/portlandparks/Activity_Search/swcc---pre---penguin/208380?locale=en-US</x:v>
      </x:c>
    </x:row>
    <x:row r="1128" ht="38" customHeight="1">
      <x:c r="A1128" s="7" t="str">
        <x:v>208381</x:v>
      </x:c>
      <x:c r="B1128" s="12" t="str">
        <x:v>SWCC - Pre - Penguin</x:v>
      </x:c>
      <x:c r="C1128" s="12" t="str">
        <x:v>Southwest Indoor Pool</x:v>
      </x:c>
      <x:c r="D1128" s="12" t="str">
        <x:v>Aquatics - Lessons</x:v>
      </x:c>
      <x:c r="E1128" s="7" t="str">
        <x:v>future</x:v>
      </x:c>
      <x:c r="F1128" s="7" t="str">
        <x:v>2026-11-02</x:v>
      </x:c>
      <x:c r="G1128" s="7" t="str">
        <x:v>2026-12-09</x:v>
      </x:c>
      <x:c r="H1128" s="7" t="n">
        <x:v>0</x:v>
      </x:c>
      <x:c r="I1128" s="7"/>
      <x:c r="J1128" s="7" t="n">
        <x:v>5</x:v>
      </x:c>
      <x:c r="K1128" s="7" t="str">
        <x:v>unverified-denominator</x:v>
      </x:c>
      <x:c r="L1128" s="7" t="d">
        <x:v>2026-09-16T05:12:38.111Z</x:v>
      </x:c>
      <x:c r="M1128" s="7" t="str">
        <x:v>https://apm.activecommunities.com/portlandparks/Activity_Search/swcc---pre---penguin/208381?locale=en-US</x:v>
      </x:c>
    </x:row>
    <x:row r="1129" ht="38" customHeight="1">
      <x:c r="A1129" s="8" t="str">
        <x:v>208382</x:v>
      </x:c>
      <x:c r="B1129" s="11" t="str">
        <x:v>SWCC - Pre - Penguin</x:v>
      </x:c>
      <x:c r="C1129" s="11" t="str">
        <x:v>Southwest Indoor Pool</x:v>
      </x:c>
      <x:c r="D1129" s="11" t="str">
        <x:v>Aquatics - Lessons</x:v>
      </x:c>
      <x:c r="E1129" s="8" t="str">
        <x:v>future</x:v>
      </x:c>
      <x:c r="F1129" s="8" t="str">
        <x:v>2026-11-02</x:v>
      </x:c>
      <x:c r="G1129" s="8" t="str">
        <x:v>2026-12-09</x:v>
      </x:c>
      <x:c r="H1129" s="8" t="n">
        <x:v>0</x:v>
      </x:c>
      <x:c r="I1129" s="8"/>
      <x:c r="J1129" s="8" t="n">
        <x:v>5</x:v>
      </x:c>
      <x:c r="K1129" s="8" t="str">
        <x:v>unverified-denominator</x:v>
      </x:c>
      <x:c r="L1129" s="8" t="d">
        <x:v>2026-09-16T05:12:38.111Z</x:v>
      </x:c>
      <x:c r="M1129" s="8" t="str">
        <x:v>https://apm.activecommunities.com/portlandparks/Activity_Search/swcc---pre---penguin/208382?locale=en-US</x:v>
      </x:c>
    </x:row>
    <x:row r="1130" ht="38" customHeight="1">
      <x:c r="A1130" s="7" t="str">
        <x:v>208383</x:v>
      </x:c>
      <x:c r="B1130" s="12" t="str">
        <x:v>SWCC - Pre - Penguin</x:v>
      </x:c>
      <x:c r="C1130" s="12" t="str">
        <x:v>Southwest Indoor Pool</x:v>
      </x:c>
      <x:c r="D1130" s="12" t="str">
        <x:v>Aquatics - Lessons</x:v>
      </x:c>
      <x:c r="E1130" s="7" t="str">
        <x:v>future</x:v>
      </x:c>
      <x:c r="F1130" s="7" t="str">
        <x:v>2026-11-02</x:v>
      </x:c>
      <x:c r="G1130" s="7" t="str">
        <x:v>2026-12-09</x:v>
      </x:c>
      <x:c r="H1130" s="7" t="n">
        <x:v>0</x:v>
      </x:c>
      <x:c r="I1130" s="7"/>
      <x:c r="J1130" s="7" t="n">
        <x:v>5</x:v>
      </x:c>
      <x:c r="K1130" s="7" t="str">
        <x:v>unverified-denominator</x:v>
      </x:c>
      <x:c r="L1130" s="7" t="d">
        <x:v>2026-09-16T05:12:38.111Z</x:v>
      </x:c>
      <x:c r="M1130" s="7" t="str">
        <x:v>https://apm.activecommunities.com/portlandparks/Activity_Search/swcc---pre---penguin/208383?locale=en-US</x:v>
      </x:c>
    </x:row>
    <x:row r="1131" ht="38" customHeight="1">
      <x:c r="A1131" s="8" t="str">
        <x:v>208384</x:v>
      </x:c>
      <x:c r="B1131" s="11" t="str">
        <x:v>SWCC - Pre - Penguin</x:v>
      </x:c>
      <x:c r="C1131" s="11" t="str">
        <x:v>Southwest Indoor Pool</x:v>
      </x:c>
      <x:c r="D1131" s="11" t="str">
        <x:v>Aquatics - Lessons</x:v>
      </x:c>
      <x:c r="E1131" s="8" t="str">
        <x:v>future</x:v>
      </x:c>
      <x:c r="F1131" s="8" t="str">
        <x:v>2026-11-03</x:v>
      </x:c>
      <x:c r="G1131" s="8" t="str">
        <x:v>2026-12-10</x:v>
      </x:c>
      <x:c r="H1131" s="8" t="n">
        <x:v>0</x:v>
      </x:c>
      <x:c r="I1131" s="8"/>
      <x:c r="J1131" s="8" t="n">
        <x:v>5</x:v>
      </x:c>
      <x:c r="K1131" s="8" t="str">
        <x:v>unverified-denominator</x:v>
      </x:c>
      <x:c r="L1131" s="8" t="d">
        <x:v>2026-09-16T05:12:38.111Z</x:v>
      </x:c>
      <x:c r="M1131" s="8" t="str">
        <x:v>https://apm.activecommunities.com/portlandparks/Activity_Search/swcc---pre---penguin/208384?locale=en-US</x:v>
      </x:c>
    </x:row>
    <x:row r="1132" ht="38" customHeight="1">
      <x:c r="A1132" s="7" t="str">
        <x:v>208385</x:v>
      </x:c>
      <x:c r="B1132" s="12" t="str">
        <x:v>SWCC - Pre - Penguin</x:v>
      </x:c>
      <x:c r="C1132" s="12" t="str">
        <x:v>Southwest Indoor Pool</x:v>
      </x:c>
      <x:c r="D1132" s="12" t="str">
        <x:v>Aquatics - Lessons</x:v>
      </x:c>
      <x:c r="E1132" s="7" t="str">
        <x:v>future</x:v>
      </x:c>
      <x:c r="F1132" s="7" t="str">
        <x:v>2026-11-03</x:v>
      </x:c>
      <x:c r="G1132" s="7" t="str">
        <x:v>2026-12-10</x:v>
      </x:c>
      <x:c r="H1132" s="7" t="n">
        <x:v>0</x:v>
      </x:c>
      <x:c r="I1132" s="7"/>
      <x:c r="J1132" s="7" t="n">
        <x:v>5</x:v>
      </x:c>
      <x:c r="K1132" s="7" t="str">
        <x:v>unverified-denominator</x:v>
      </x:c>
      <x:c r="L1132" s="7" t="d">
        <x:v>2026-09-16T05:12:38.111Z</x:v>
      </x:c>
      <x:c r="M1132" s="7" t="str">
        <x:v>https://apm.activecommunities.com/portlandparks/Activity_Search/swcc---pre---penguin/208385?locale=en-US</x:v>
      </x:c>
    </x:row>
    <x:row r="1133" ht="38" customHeight="1">
      <x:c r="A1133" s="8" t="str">
        <x:v>208386</x:v>
      </x:c>
      <x:c r="B1133" s="11" t="str">
        <x:v>SWCC - Pre - Penguin</x:v>
      </x:c>
      <x:c r="C1133" s="11" t="str">
        <x:v>Southwest Indoor Pool</x:v>
      </x:c>
      <x:c r="D1133" s="11" t="str">
        <x:v>Aquatics - Lessons</x:v>
      </x:c>
      <x:c r="E1133" s="8" t="str">
        <x:v>future</x:v>
      </x:c>
      <x:c r="F1133" s="8" t="str">
        <x:v>2026-11-03</x:v>
      </x:c>
      <x:c r="G1133" s="8" t="str">
        <x:v>2026-12-10</x:v>
      </x:c>
      <x:c r="H1133" s="8" t="n">
        <x:v>0</x:v>
      </x:c>
      <x:c r="I1133" s="8"/>
      <x:c r="J1133" s="8" t="n">
        <x:v>5</x:v>
      </x:c>
      <x:c r="K1133" s="8" t="str">
        <x:v>unverified-denominator</x:v>
      </x:c>
      <x:c r="L1133" s="8" t="d">
        <x:v>2026-09-16T05:12:38.111Z</x:v>
      </x:c>
      <x:c r="M1133" s="8" t="str">
        <x:v>https://apm.activecommunities.com/portlandparks/Activity_Search/swcc---pre---penguin/208386?locale=en-US</x:v>
      </x:c>
    </x:row>
    <x:row r="1134" ht="38" customHeight="1">
      <x:c r="A1134" s="7" t="str">
        <x:v>208387</x:v>
      </x:c>
      <x:c r="B1134" s="12" t="str">
        <x:v>SWCC - Pre - Penguin</x:v>
      </x:c>
      <x:c r="C1134" s="12" t="str">
        <x:v>Southwest Indoor Pool</x:v>
      </x:c>
      <x:c r="D1134" s="12" t="str">
        <x:v>Aquatics - Lessons</x:v>
      </x:c>
      <x:c r="E1134" s="7" t="str">
        <x:v>future</x:v>
      </x:c>
      <x:c r="F1134" s="7" t="str">
        <x:v>2026-11-03</x:v>
      </x:c>
      <x:c r="G1134" s="7" t="str">
        <x:v>2026-12-10</x:v>
      </x:c>
      <x:c r="H1134" s="7" t="n">
        <x:v>0</x:v>
      </x:c>
      <x:c r="I1134" s="7"/>
      <x:c r="J1134" s="7" t="n">
        <x:v>5</x:v>
      </x:c>
      <x:c r="K1134" s="7" t="str">
        <x:v>unverified-denominator</x:v>
      </x:c>
      <x:c r="L1134" s="7" t="d">
        <x:v>2026-09-16T05:12:38.111Z</x:v>
      </x:c>
      <x:c r="M1134" s="7" t="str">
        <x:v>https://apm.activecommunities.com/portlandparks/Activity_Search/swcc---pre---penguin/208387?locale=en-US</x:v>
      </x:c>
    </x:row>
    <x:row r="1135" ht="38" customHeight="1">
      <x:c r="A1135" s="8" t="str">
        <x:v>208388</x:v>
      </x:c>
      <x:c r="B1135" s="11" t="str">
        <x:v>SWCC - Pre - Penguin</x:v>
      </x:c>
      <x:c r="C1135" s="11" t="str">
        <x:v>Southwest Indoor Pool</x:v>
      </x:c>
      <x:c r="D1135" s="11" t="str">
        <x:v>Aquatics - Lessons</x:v>
      </x:c>
      <x:c r="E1135" s="8" t="str">
        <x:v>future</x:v>
      </x:c>
      <x:c r="F1135" s="8" t="str">
        <x:v>2026-11-03</x:v>
      </x:c>
      <x:c r="G1135" s="8" t="str">
        <x:v>2026-12-10</x:v>
      </x:c>
      <x:c r="H1135" s="8" t="n">
        <x:v>0</x:v>
      </x:c>
      <x:c r="I1135" s="8"/>
      <x:c r="J1135" s="8" t="n">
        <x:v>5</x:v>
      </x:c>
      <x:c r="K1135" s="8" t="str">
        <x:v>unverified-denominator</x:v>
      </x:c>
      <x:c r="L1135" s="8" t="d">
        <x:v>2026-09-16T05:12:38.111Z</x:v>
      </x:c>
      <x:c r="M1135" s="8" t="str">
        <x:v>https://apm.activecommunities.com/portlandparks/Activity_Search/swcc---pre---penguin/208388?locale=en-US</x:v>
      </x:c>
    </x:row>
    <x:row r="1136" ht="38" customHeight="1">
      <x:c r="A1136" s="7" t="str">
        <x:v>208389</x:v>
      </x:c>
      <x:c r="B1136" s="12" t="str">
        <x:v>SWCC - Pre - Seal</x:v>
      </x:c>
      <x:c r="C1136" s="12" t="str">
        <x:v>Southwest Indoor Pool</x:v>
      </x:c>
      <x:c r="D1136" s="12" t="str">
        <x:v>Aquatics - Lessons</x:v>
      </x:c>
      <x:c r="E1136" s="7" t="str">
        <x:v>future</x:v>
      </x:c>
      <x:c r="F1136" s="7" t="str">
        <x:v>2026-11-02</x:v>
      </x:c>
      <x:c r="G1136" s="7" t="str">
        <x:v>2026-12-09</x:v>
      </x:c>
      <x:c r="H1136" s="7" t="n">
        <x:v>0</x:v>
      </x:c>
      <x:c r="I1136" s="7"/>
      <x:c r="J1136" s="7" t="n">
        <x:v>5</x:v>
      </x:c>
      <x:c r="K1136" s="7" t="str">
        <x:v>unverified-denominator</x:v>
      </x:c>
      <x:c r="L1136" s="7" t="d">
        <x:v>2026-09-16T05:12:38.111Z</x:v>
      </x:c>
      <x:c r="M1136" s="7" t="str">
        <x:v>https://apm.activecommunities.com/portlandparks/Activity_Search/swcc---pre---seal/208389?locale=en-US</x:v>
      </x:c>
    </x:row>
    <x:row r="1137" ht="38" customHeight="1">
      <x:c r="A1137" s="8" t="str">
        <x:v>208390</x:v>
      </x:c>
      <x:c r="B1137" s="11" t="str">
        <x:v>SWCC - Pre - Seal</x:v>
      </x:c>
      <x:c r="C1137" s="11" t="str">
        <x:v>Southwest Indoor Pool</x:v>
      </x:c>
      <x:c r="D1137" s="11" t="str">
        <x:v>Aquatics - Lessons</x:v>
      </x:c>
      <x:c r="E1137" s="8" t="str">
        <x:v>future</x:v>
      </x:c>
      <x:c r="F1137" s="8" t="str">
        <x:v>2026-11-03</x:v>
      </x:c>
      <x:c r="G1137" s="8" t="str">
        <x:v>2026-12-10</x:v>
      </x:c>
      <x:c r="H1137" s="8" t="n">
        <x:v>0</x:v>
      </x:c>
      <x:c r="I1137" s="8"/>
      <x:c r="J1137" s="8" t="n">
        <x:v>5</x:v>
      </x:c>
      <x:c r="K1137" s="8" t="str">
        <x:v>unverified-denominator</x:v>
      </x:c>
      <x:c r="L1137" s="8" t="d">
        <x:v>2026-09-16T05:12:38.111Z</x:v>
      </x:c>
      <x:c r="M1137" s="8" t="str">
        <x:v>https://apm.activecommunities.com/portlandparks/Activity_Search/swcc---pre---seal/208390?locale=en-US</x:v>
      </x:c>
    </x:row>
    <x:row r="1138" ht="38" customHeight="1">
      <x:c r="A1138" s="7" t="str">
        <x:v>208391</x:v>
      </x:c>
      <x:c r="B1138" s="12" t="str">
        <x:v>SWCC - Pre - Seal</x:v>
      </x:c>
      <x:c r="C1138" s="12" t="str">
        <x:v>Southwest Indoor Pool</x:v>
      </x:c>
      <x:c r="D1138" s="12" t="str">
        <x:v>Aquatics - Lessons</x:v>
      </x:c>
      <x:c r="E1138" s="7" t="str">
        <x:v>future</x:v>
      </x:c>
      <x:c r="F1138" s="7" t="str">
        <x:v>2026-11-03</x:v>
      </x:c>
      <x:c r="G1138" s="7" t="str">
        <x:v>2026-12-10</x:v>
      </x:c>
      <x:c r="H1138" s="7" t="n">
        <x:v>0</x:v>
      </x:c>
      <x:c r="I1138" s="7"/>
      <x:c r="J1138" s="7" t="n">
        <x:v>5</x:v>
      </x:c>
      <x:c r="K1138" s="7" t="str">
        <x:v>unverified-denominator</x:v>
      </x:c>
      <x:c r="L1138" s="7" t="d">
        <x:v>2026-09-16T05:12:38.111Z</x:v>
      </x:c>
      <x:c r="M1138" s="7" t="str">
        <x:v>https://apm.activecommunities.com/portlandparks/Activity_Search/swcc---pre---seal/208391?locale=en-US</x:v>
      </x:c>
    </x:row>
    <x:row r="1139" ht="38" customHeight="1">
      <x:c r="A1139" s="8" t="str">
        <x:v>208392</x:v>
      </x:c>
      <x:c r="B1139" s="11" t="str">
        <x:v>SWCC - Sea Lion</x:v>
      </x:c>
      <x:c r="C1139" s="11" t="str">
        <x:v>Southwest Indoor Pool</x:v>
      </x:c>
      <x:c r="D1139" s="11" t="str">
        <x:v>Aquatics - Lessons</x:v>
      </x:c>
      <x:c r="E1139" s="8" t="str">
        <x:v>future</x:v>
      </x:c>
      <x:c r="F1139" s="8" t="str">
        <x:v>2026-11-03</x:v>
      </x:c>
      <x:c r="G1139" s="8" t="str">
        <x:v>2026-12-10</x:v>
      </x:c>
      <x:c r="H1139" s="8" t="n">
        <x:v>0</x:v>
      </x:c>
      <x:c r="I1139" s="8"/>
      <x:c r="J1139" s="8" t="n">
        <x:v>8</x:v>
      </x:c>
      <x:c r="K1139" s="8" t="str">
        <x:v>unverified-denominator</x:v>
      </x:c>
      <x:c r="L1139" s="8" t="d">
        <x:v>2026-09-16T05:12:38.111Z</x:v>
      </x:c>
      <x:c r="M1139" s="8" t="str">
        <x:v>https://apm.activecommunities.com/portlandparks/Activity_Search/swcc---sea-lion/208392?locale=en-US</x:v>
      </x:c>
    </x:row>
    <x:row r="1140" ht="38" customHeight="1">
      <x:c r="A1140" s="7" t="str">
        <x:v>208393</x:v>
      </x:c>
      <x:c r="B1140" s="12" t="str">
        <x:v>SWCC - Seal</x:v>
      </x:c>
      <x:c r="C1140" s="12" t="str">
        <x:v>Southwest Indoor Pool</x:v>
      </x:c>
      <x:c r="D1140" s="12" t="str">
        <x:v>Aquatics - Lessons</x:v>
      </x:c>
      <x:c r="E1140" s="7" t="str">
        <x:v>future</x:v>
      </x:c>
      <x:c r="F1140" s="7" t="str">
        <x:v>2026-11-02</x:v>
      </x:c>
      <x:c r="G1140" s="7" t="str">
        <x:v>2026-12-09</x:v>
      </x:c>
      <x:c r="H1140" s="7" t="n">
        <x:v>0</x:v>
      </x:c>
      <x:c r="I1140" s="7"/>
      <x:c r="J1140" s="7" t="n">
        <x:v>6</x:v>
      </x:c>
      <x:c r="K1140" s="7" t="str">
        <x:v>unverified-denominator</x:v>
      </x:c>
      <x:c r="L1140" s="7" t="d">
        <x:v>2026-09-16T05:12:38.111Z</x:v>
      </x:c>
      <x:c r="M1140" s="7" t="str">
        <x:v>https://apm.activecommunities.com/portlandparks/Activity_Search/swcc---seal/208393?locale=en-US</x:v>
      </x:c>
    </x:row>
    <x:row r="1141" ht="38" customHeight="1">
      <x:c r="A1141" s="8" t="str">
        <x:v>208394</x:v>
      </x:c>
      <x:c r="B1141" s="11" t="str">
        <x:v>SWCC - Seal</x:v>
      </x:c>
      <x:c r="C1141" s="11" t="str">
        <x:v>Southwest Indoor Pool</x:v>
      </x:c>
      <x:c r="D1141" s="11" t="str">
        <x:v>Aquatics - Lessons</x:v>
      </x:c>
      <x:c r="E1141" s="8" t="str">
        <x:v>future</x:v>
      </x:c>
      <x:c r="F1141" s="8" t="str">
        <x:v>2026-11-03</x:v>
      </x:c>
      <x:c r="G1141" s="8" t="str">
        <x:v>2026-12-10</x:v>
      </x:c>
      <x:c r="H1141" s="8" t="n">
        <x:v>0</x:v>
      </x:c>
      <x:c r="I1141" s="8"/>
      <x:c r="J1141" s="8" t="n">
        <x:v>6</x:v>
      </x:c>
      <x:c r="K1141" s="8" t="str">
        <x:v>unverified-denominator</x:v>
      </x:c>
      <x:c r="L1141" s="8" t="d">
        <x:v>2026-09-16T05:12:38.111Z</x:v>
      </x:c>
      <x:c r="M1141" s="8" t="str">
        <x:v>https://apm.activecommunities.com/portlandparks/Activity_Search/swcc---seal/208394?locale=en-US</x:v>
      </x:c>
    </x:row>
    <x:row r="1142" ht="38" customHeight="1">
      <x:c r="A1142" s="7" t="str">
        <x:v>208395</x:v>
      </x:c>
      <x:c r="B1142" s="12" t="str">
        <x:v>SWCC - Starfish</x:v>
      </x:c>
      <x:c r="C1142" s="12" t="str">
        <x:v>Southwest Indoor Pool</x:v>
      </x:c>
      <x:c r="D1142" s="12" t="str">
        <x:v>Aquatics - Lessons</x:v>
      </x:c>
      <x:c r="E1142" s="7" t="str">
        <x:v>future</x:v>
      </x:c>
      <x:c r="F1142" s="7" t="str">
        <x:v>2026-11-02</x:v>
      </x:c>
      <x:c r="G1142" s="7" t="str">
        <x:v>2026-12-09</x:v>
      </x:c>
      <x:c r="H1142" s="7" t="n">
        <x:v>0</x:v>
      </x:c>
      <x:c r="I1142" s="7"/>
      <x:c r="J1142" s="7" t="n">
        <x:v>12</x:v>
      </x:c>
      <x:c r="K1142" s="7" t="str">
        <x:v>unverified-denominator</x:v>
      </x:c>
      <x:c r="L1142" s="7" t="d">
        <x:v>2026-09-16T05:12:38.111Z</x:v>
      </x:c>
      <x:c r="M1142" s="7" t="str">
        <x:v>https://apm.activecommunities.com/portlandparks/Activity_Search/swcc---starfish/208395?locale=en-US</x:v>
      </x:c>
    </x:row>
    <x:row r="1143" ht="38" customHeight="1">
      <x:c r="A1143" s="8" t="str">
        <x:v>208396</x:v>
      </x:c>
      <x:c r="B1143" s="11" t="str">
        <x:v>SWCC - Starfish</x:v>
      </x:c>
      <x:c r="C1143" s="11" t="str">
        <x:v>Southwest Indoor Pool</x:v>
      </x:c>
      <x:c r="D1143" s="11" t="str">
        <x:v>Aquatics - Lessons</x:v>
      </x:c>
      <x:c r="E1143" s="8" t="str">
        <x:v>future</x:v>
      </x:c>
      <x:c r="F1143" s="8" t="str">
        <x:v>2026-11-02</x:v>
      </x:c>
      <x:c r="G1143" s="8" t="str">
        <x:v>2026-12-09</x:v>
      </x:c>
      <x:c r="H1143" s="8" t="n">
        <x:v>0</x:v>
      </x:c>
      <x:c r="I1143" s="8"/>
      <x:c r="J1143" s="8" t="n">
        <x:v>12</x:v>
      </x:c>
      <x:c r="K1143" s="8" t="str">
        <x:v>unverified-denominator</x:v>
      </x:c>
      <x:c r="L1143" s="8" t="d">
        <x:v>2026-09-16T05:12:38.111Z</x:v>
      </x:c>
      <x:c r="M1143" s="8" t="str">
        <x:v>https://apm.activecommunities.com/portlandparks/Activity_Search/swcc---starfish/208396?locale=en-US</x:v>
      </x:c>
    </x:row>
    <x:row r="1144" ht="38" customHeight="1">
      <x:c r="A1144" s="7" t="str">
        <x:v>208397</x:v>
      </x:c>
      <x:c r="B1144" s="12" t="str">
        <x:v>SWCC - Starfish</x:v>
      </x:c>
      <x:c r="C1144" s="12" t="str">
        <x:v>Southwest Indoor Pool</x:v>
      </x:c>
      <x:c r="D1144" s="12" t="str">
        <x:v>Aquatics - Lessons</x:v>
      </x:c>
      <x:c r="E1144" s="7" t="str">
        <x:v>future</x:v>
      </x:c>
      <x:c r="F1144" s="7" t="str">
        <x:v>2026-11-02</x:v>
      </x:c>
      <x:c r="G1144" s="7" t="str">
        <x:v>2026-12-09</x:v>
      </x:c>
      <x:c r="H1144" s="7" t="n">
        <x:v>0</x:v>
      </x:c>
      <x:c r="I1144" s="7"/>
      <x:c r="J1144" s="7" t="n">
        <x:v>6</x:v>
      </x:c>
      <x:c r="K1144" s="7" t="str">
        <x:v>unverified-denominator</x:v>
      </x:c>
      <x:c r="L1144" s="7" t="d">
        <x:v>2026-09-16T05:12:38.111Z</x:v>
      </x:c>
      <x:c r="M1144" s="7" t="str">
        <x:v>https://apm.activecommunities.com/portlandparks/Activity_Search/swcc---starfish/208397?locale=en-US</x:v>
      </x:c>
    </x:row>
    <x:row r="1145" ht="38" customHeight="1">
      <x:c r="A1145" s="8" t="str">
        <x:v>208398</x:v>
      </x:c>
      <x:c r="B1145" s="11" t="str">
        <x:v>SWCC - Starfish</x:v>
      </x:c>
      <x:c r="C1145" s="11" t="str">
        <x:v>Southwest Indoor Pool</x:v>
      </x:c>
      <x:c r="D1145" s="11" t="str">
        <x:v>Aquatics - Lessons</x:v>
      </x:c>
      <x:c r="E1145" s="8" t="str">
        <x:v>future</x:v>
      </x:c>
      <x:c r="F1145" s="8" t="str">
        <x:v>2026-11-03</x:v>
      </x:c>
      <x:c r="G1145" s="8" t="str">
        <x:v>2026-12-10</x:v>
      </x:c>
      <x:c r="H1145" s="8" t="n">
        <x:v>0</x:v>
      </x:c>
      <x:c r="I1145" s="8"/>
      <x:c r="J1145" s="8" t="n">
        <x:v>12</x:v>
      </x:c>
      <x:c r="K1145" s="8" t="str">
        <x:v>unverified-denominator</x:v>
      </x:c>
      <x:c r="L1145" s="8" t="d">
        <x:v>2026-09-16T05:12:38.111Z</x:v>
      </x:c>
      <x:c r="M1145" s="8" t="str">
        <x:v>https://apm.activecommunities.com/portlandparks/Activity_Search/swcc---starfish/208398?locale=en-US</x:v>
      </x:c>
    </x:row>
    <x:row r="1146" ht="38" customHeight="1">
      <x:c r="A1146" s="7" t="str">
        <x:v>208399</x:v>
      </x:c>
      <x:c r="B1146" s="12" t="str">
        <x:v>SWCC - Starfish</x:v>
      </x:c>
      <x:c r="C1146" s="12" t="str">
        <x:v>Southwest Indoor Pool</x:v>
      </x:c>
      <x:c r="D1146" s="12" t="str">
        <x:v>Aquatics - Lessons</x:v>
      </x:c>
      <x:c r="E1146" s="7" t="str">
        <x:v>future</x:v>
      </x:c>
      <x:c r="F1146" s="7" t="str">
        <x:v>2026-11-03</x:v>
      </x:c>
      <x:c r="G1146" s="7" t="str">
        <x:v>2026-12-10</x:v>
      </x:c>
      <x:c r="H1146" s="7" t="n">
        <x:v>0</x:v>
      </x:c>
      <x:c r="I1146" s="7"/>
      <x:c r="J1146" s="7" t="n">
        <x:v>6</x:v>
      </x:c>
      <x:c r="K1146" s="7" t="str">
        <x:v>unverified-denominator</x:v>
      </x:c>
      <x:c r="L1146" s="7" t="d">
        <x:v>2026-09-16T05:12:38.111Z</x:v>
      </x:c>
      <x:c r="M1146" s="7" t="str">
        <x:v>https://apm.activecommunities.com/portlandparks/Activity_Search/swcc---starfish/208399?locale=en-US</x:v>
      </x:c>
    </x:row>
    <x:row r="1147" ht="38" customHeight="1">
      <x:c r="A1147" s="8" t="str">
        <x:v>206518</x:v>
      </x:c>
      <x:c r="B1147" s="11" t="str">
        <x:v>Swim Instructor Certification</x:v>
      </x:c>
      <x:c r="C1147" s="11" t="str">
        <x:v>Southwest Indoor Pool</x:v>
      </x:c>
      <x:c r="D1147" s="11" t="str">
        <x:v>Aquatics - Training</x:v>
      </x:c>
      <x:c r="E1147" s="8" t="str">
        <x:v>future</x:v>
      </x:c>
      <x:c r="F1147" s="8" t="str">
        <x:v>2027-03-22</x:v>
      </x:c>
      <x:c r="G1147" s="8" t="str">
        <x:v>2027-03-25</x:v>
      </x:c>
      <x:c r="H1147" s="8" t="n">
        <x:v>6</x:v>
      </x:c>
      <x:c r="I1147" s="8"/>
      <x:c r="J1147" s="8" t="n">
        <x:v>24</x:v>
      </x:c>
      <x:c r="K1147" s="8" t="str">
        <x:v>unverified-denominator</x:v>
      </x:c>
      <x:c r="L1147" s="8" t="d">
        <x:v>2026-09-16T05:12:38.111Z</x:v>
      </x:c>
      <x:c r="M1147" s="8" t="str">
        <x:v>https://apm.activecommunities.com/portlandparks/Activity_Search/swim-instructor-certification/206518?locale=en-US</x:v>
      </x:c>
    </x:row>
    <x:row r="1148" ht="38" customHeight="1">
      <x:c r="A1148" s="7" t="str">
        <x:v>206519</x:v>
      </x:c>
      <x:c r="B1148" s="12" t="str">
        <x:v>Swim Instructor Certification</x:v>
      </x:c>
      <x:c r="C1148" s="12" t="str">
        <x:v>Matt Dishman Indoor Pool</x:v>
      </x:c>
      <x:c r="D1148" s="12" t="str">
        <x:v>Aquatics - Training</x:v>
      </x:c>
      <x:c r="E1148" s="7" t="str">
        <x:v>future</x:v>
      </x:c>
      <x:c r="F1148" s="7" t="str">
        <x:v>2027-04-09</x:v>
      </x:c>
      <x:c r="G1148" s="7" t="str">
        <x:v>2027-04-17</x:v>
      </x:c>
      <x:c r="H1148" s="7" t="n">
        <x:v>0</x:v>
      </x:c>
      <x:c r="I1148" s="7"/>
      <x:c r="J1148" s="7" t="n">
        <x:v>24</x:v>
      </x:c>
      <x:c r="K1148" s="7" t="str">
        <x:v>unverified-denominator</x:v>
      </x:c>
      <x:c r="L1148" s="7" t="d">
        <x:v>2026-09-16T05:12:38.111Z</x:v>
      </x:c>
      <x:c r="M1148" s="7" t="str">
        <x:v>https://apm.activecommunities.com/portlandparks/Activity_Search/swim-instructor-certification/206519?locale=en-US</x:v>
      </x:c>
    </x:row>
    <x:row r="1149" ht="38" customHeight="1">
      <x:c r="A1149" s="8" t="str">
        <x:v>206520</x:v>
      </x:c>
      <x:c r="B1149" s="11" t="str">
        <x:v>Swim Instructor Certification</x:v>
      </x:c>
      <x:c r="C1149" s="11" t="str">
        <x:v>East Portland Indoor Pool</x:v>
      </x:c>
      <x:c r="D1149" s="11" t="str">
        <x:v>Aquatics - Training</x:v>
      </x:c>
      <x:c r="E1149" s="8" t="str">
        <x:v>future</x:v>
      </x:c>
      <x:c r="F1149" s="8" t="str">
        <x:v>2027-01-02</x:v>
      </x:c>
      <x:c r="G1149" s="8" t="str">
        <x:v>2027-01-13</x:v>
      </x:c>
      <x:c r="H1149" s="8" t="n">
        <x:v>11</x:v>
      </x:c>
      <x:c r="I1149" s="8"/>
      <x:c r="J1149" s="8" t="n">
        <x:v>24</x:v>
      </x:c>
      <x:c r="K1149" s="8" t="str">
        <x:v>unverified-denominator</x:v>
      </x:c>
      <x:c r="L1149" s="8" t="d">
        <x:v>2026-09-16T05:12:38.111Z</x:v>
      </x:c>
      <x:c r="M1149" s="8" t="str">
        <x:v>https://apm.activecommunities.com/portlandparks/Activity_Search/swim-instructor-certification/206520?locale=en-US</x:v>
      </x:c>
    </x:row>
    <x:row r="1150" ht="38" customHeight="1">
      <x:c r="A1150" s="7" t="str">
        <x:v>206514</x:v>
      </x:c>
      <x:c r="B1150" s="12" t="str">
        <x:v>Swim Instructor Certification</x:v>
      </x:c>
      <x:c r="C1150" s="12" t="str">
        <x:v>Mt Scott Indoor Pool</x:v>
      </x:c>
      <x:c r="D1150" s="12" t="str">
        <x:v>Aquatics - Training</x:v>
      </x:c>
      <x:c r="E1150" s="7" t="str">
        <x:v>future</x:v>
      </x:c>
      <x:c r="F1150" s="7" t="str">
        <x:v>2027-02-05</x:v>
      </x:c>
      <x:c r="G1150" s="7" t="str">
        <x:v>2027-02-13</x:v>
      </x:c>
      <x:c r="H1150" s="7" t="n">
        <x:v>5</x:v>
      </x:c>
      <x:c r="I1150" s="7"/>
      <x:c r="J1150" s="7" t="n">
        <x:v>24</x:v>
      </x:c>
      <x:c r="K1150" s="7" t="str">
        <x:v>unverified-denominator</x:v>
      </x:c>
      <x:c r="L1150" s="7" t="d">
        <x:v>2026-09-16T05:12:38.111Z</x:v>
      </x:c>
      <x:c r="M1150" s="7" t="str">
        <x:v>https://apm.activecommunities.com/portlandparks/Activity_Search/swim-instructor-certification/206514?locale=en-US</x:v>
      </x:c>
    </x:row>
    <x:row r="1151" ht="38" customHeight="1">
      <x:c r="A1151" s="8" t="str">
        <x:v>206509</x:v>
      </x:c>
      <x:c r="B1151" s="11" t="str">
        <x:v>Swim Instructor Certification</x:v>
      </x:c>
      <x:c r="C1151" s="11" t="str">
        <x:v>Mt Scott Indoor Pool</x:v>
      </x:c>
      <x:c r="D1151" s="11" t="str">
        <x:v>Aquatics - Training</x:v>
      </x:c>
      <x:c r="E1151" s="8" t="str">
        <x:v>future</x:v>
      </x:c>
      <x:c r="F1151" s="8" t="str">
        <x:v>2026-10-11</x:v>
      </x:c>
      <x:c r="G1151" s="8" t="str">
        <x:v>2026-10-21</x:v>
      </x:c>
      <x:c r="H1151" s="8" t="n">
        <x:v>12</x:v>
      </x:c>
      <x:c r="I1151" s="8" t="n">
        <x:v>1</x:v>
      </x:c>
      <x:c r="J1151" s="8" t="n">
        <x:v>24</x:v>
      </x:c>
      <x:c r="K1151" s="8" t="str">
        <x:v>unverified-denominator</x:v>
      </x:c>
      <x:c r="L1151" s="8" t="d">
        <x:v>2026-09-16T05:12:38.111Z</x:v>
      </x:c>
      <x:c r="M1151" s="8" t="str">
        <x:v>https://apm.activecommunities.com/portlandparks/Activity_Search/swim-instructor-certification/206509?locale=en-US</x:v>
      </x:c>
    </x:row>
    <x:row r="1152" ht="38" customHeight="1">
      <x:c r="A1152" s="7" t="str">
        <x:v>206510</x:v>
      </x:c>
      <x:c r="B1152" s="12" t="str">
        <x:v>Swim Instructor Certification</x:v>
      </x:c>
      <x:c r="C1152" s="12" t="str">
        <x:v>Matt Dishman Indoor Pool</x:v>
      </x:c>
      <x:c r="D1152" s="12" t="str">
        <x:v>Aquatics - Training</x:v>
      </x:c>
      <x:c r="E1152" s="7" t="str">
        <x:v>future</x:v>
      </x:c>
      <x:c r="F1152" s="7" t="str">
        <x:v>2026-11-01</x:v>
      </x:c>
      <x:c r="G1152" s="7" t="str">
        <x:v>2026-11-12</x:v>
      </x:c>
      <x:c r="H1152" s="7" t="n">
        <x:v>13</x:v>
      </x:c>
      <x:c r="I1152" s="7"/>
      <x:c r="J1152" s="7" t="n">
        <x:v>24</x:v>
      </x:c>
      <x:c r="K1152" s="7" t="str">
        <x:v>unverified-denominator</x:v>
      </x:c>
      <x:c r="L1152" s="7" t="d">
        <x:v>2026-09-16T05:12:38.111Z</x:v>
      </x:c>
      <x:c r="M1152" s="7" t="str">
        <x:v>https://apm.activecommunities.com/portlandparks/Activity_Search/swim-instructor-certification/206510?locale=en-US</x:v>
      </x:c>
    </x:row>
    <x:row r="1153" ht="38" customHeight="1">
      <x:c r="A1153" s="8" t="str">
        <x:v>206511</x:v>
      </x:c>
      <x:c r="B1153" s="11" t="str">
        <x:v>Swim Instructor Certification</x:v>
      </x:c>
      <x:c r="C1153" s="11" t="str">
        <x:v>Mt Scott Indoor Pool</x:v>
      </x:c>
      <x:c r="D1153" s="11" t="str">
        <x:v>Aquatics - Training</x:v>
      </x:c>
      <x:c r="E1153" s="8" t="str">
        <x:v>future</x:v>
      </x:c>
      <x:c r="F1153" s="8" t="str">
        <x:v>2026-12-06</x:v>
      </x:c>
      <x:c r="G1153" s="8" t="str">
        <x:v>2026-12-10</x:v>
      </x:c>
      <x:c r="H1153" s="8" t="n">
        <x:v>6</x:v>
      </x:c>
      <x:c r="I1153" s="8"/>
      <x:c r="J1153" s="8" t="n">
        <x:v>24</x:v>
      </x:c>
      <x:c r="K1153" s="8" t="str">
        <x:v>unverified-denominator</x:v>
      </x:c>
      <x:c r="L1153" s="8" t="d">
        <x:v>2026-09-16T05:12:38.111Z</x:v>
      </x:c>
      <x:c r="M1153" s="8" t="str">
        <x:v>https://apm.activecommunities.com/portlandparks/Activity_Search/swim-instructor-certification/206511?locale=en-US</x:v>
      </x:c>
    </x:row>
    <x:row r="1154" ht="38" customHeight="1">
      <x:c r="A1154" s="7" t="str">
        <x:v>208735</x:v>
      </x:c>
      <x:c r="B1154" s="12" t="str">
        <x:v>Table Tennis - Adults:  Beginner</x:v>
      </x:c>
      <x:c r="C1154" s="12" t="str">
        <x:v>St Johns Cmty Ctr</x:v>
      </x:c>
      <x:c r="D1154" s="12" t="str">
        <x:v>Sports - Sports Mix</x:v>
      </x:c>
      <x:c r="E1154" s="7" t="str">
        <x:v>future</x:v>
      </x:c>
      <x:c r="F1154" s="7" t="str">
        <x:v>2026-10-02</x:v>
      </x:c>
      <x:c r="G1154" s="7" t="str">
        <x:v>2026-10-30</x:v>
      </x:c>
      <x:c r="H1154" s="7" t="n">
        <x:v>8</x:v>
      </x:c>
      <x:c r="I1154" s="7"/>
      <x:c r="J1154" s="7" t="n">
        <x:v>10</x:v>
      </x:c>
      <x:c r="K1154" s="7" t="str">
        <x:v>unverified-denominator</x:v>
      </x:c>
      <x:c r="L1154" s="7" t="d">
        <x:v>2026-09-16T05:12:38.111Z</x:v>
      </x:c>
      <x:c r="M1154" s="7" t="str">
        <x:v>https://apm.activecommunities.com/portlandparks/Activity_Search/table-tennis---adults-beginner/208735?locale=en-US</x:v>
      </x:c>
    </x:row>
    <x:row r="1155" ht="38" customHeight="1">
      <x:c r="A1155" s="8" t="str">
        <x:v>208736</x:v>
      </x:c>
      <x:c r="B1155" s="11" t="str">
        <x:v>Table Tennis - Adults:  Beginner</x:v>
      </x:c>
      <x:c r="C1155" s="11" t="str">
        <x:v>St Johns Cmty Ctr</x:v>
      </x:c>
      <x:c r="D1155" s="11" t="str">
        <x:v>Sports - Sports Mix</x:v>
      </x:c>
      <x:c r="E1155" s="8" t="str">
        <x:v>future</x:v>
      </x:c>
      <x:c r="F1155" s="8" t="str">
        <x:v>2026-11-06</x:v>
      </x:c>
      <x:c r="G1155" s="8" t="str">
        <x:v>2026-12-11</x:v>
      </x:c>
      <x:c r="H1155" s="8" t="n">
        <x:v>0</x:v>
      </x:c>
      <x:c r="I1155" s="8"/>
      <x:c r="J1155" s="8" t="n">
        <x:v>10</x:v>
      </x:c>
      <x:c r="K1155" s="8" t="str">
        <x:v>unverified-denominator</x:v>
      </x:c>
      <x:c r="L1155" s="8" t="d">
        <x:v>2026-09-16T05:12:38.111Z</x:v>
      </x:c>
      <x:c r="M1155" s="8" t="str">
        <x:v>https://apm.activecommunities.com/portlandparks/Activity_Search/table-tennis---adults-beginner/208736?locale=en-US</x:v>
      </x:c>
    </x:row>
    <x:row r="1156" ht="38" customHeight="1">
      <x:c r="A1156" s="7" t="str">
        <x:v>207916</x:v>
      </x:c>
      <x:c r="B1156" s="12" t="str">
        <x:v>Tae Kwon Do - Advanced</x:v>
      </x:c>
      <x:c r="C1156" s="12" t="str">
        <x:v>Woodstock Cmty Ctr</x:v>
      </x:c>
      <x:c r="D1156" s="12" t="str">
        <x:v>Sports - Martial Arts &amp; Self Defense</x:v>
      </x:c>
      <x:c r="E1156" s="7" t="str">
        <x:v>future</x:v>
      </x:c>
      <x:c r="F1156" s="7" t="str">
        <x:v>2026-11-12</x:v>
      </x:c>
      <x:c r="G1156" s="7" t="str">
        <x:v>2026-12-10</x:v>
      </x:c>
      <x:c r="H1156" s="7" t="n">
        <x:v>0</x:v>
      </x:c>
      <x:c r="I1156" s="7"/>
      <x:c r="J1156" s="7" t="n">
        <x:v>10</x:v>
      </x:c>
      <x:c r="K1156" s="7" t="str">
        <x:v>unverified-denominator</x:v>
      </x:c>
      <x:c r="L1156" s="7" t="d">
        <x:v>2026-09-16T05:12:38.111Z</x:v>
      </x:c>
      <x:c r="M1156" s="7" t="str">
        <x:v>https://apm.activecommunities.com/portlandparks/Activity_Search/tae-kwon-do---advanced/207916?locale=en-US</x:v>
      </x:c>
    </x:row>
    <x:row r="1157" ht="38" customHeight="1">
      <x:c r="A1157" s="8" t="str">
        <x:v>207917</x:v>
      </x:c>
      <x:c r="B1157" s="11" t="str">
        <x:v>Tae Kwon Do - Advanced</x:v>
      </x:c>
      <x:c r="C1157" s="11" t="str">
        <x:v>Woodstock Cmty Ctr</x:v>
      </x:c>
      <x:c r="D1157" s="11" t="str">
        <x:v>Sports - Martial Arts &amp; Self Defense</x:v>
      </x:c>
      <x:c r="E1157" s="8" t="str">
        <x:v>future</x:v>
      </x:c>
      <x:c r="F1157" s="8" t="str">
        <x:v>2026-11-06</x:v>
      </x:c>
      <x:c r="G1157" s="8" t="str">
        <x:v>2026-12-11</x:v>
      </x:c>
      <x:c r="H1157" s="8" t="n">
        <x:v>0</x:v>
      </x:c>
      <x:c r="I1157" s="8"/>
      <x:c r="J1157" s="8" t="n">
        <x:v>10</x:v>
      </x:c>
      <x:c r="K1157" s="8" t="str">
        <x:v>unverified-denominator</x:v>
      </x:c>
      <x:c r="L1157" s="8" t="d">
        <x:v>2026-09-16T05:12:38.111Z</x:v>
      </x:c>
      <x:c r="M1157" s="8" t="str">
        <x:v>https://apm.activecommunities.com/portlandparks/Activity_Search/tae-kwon-do---advanced/207917?locale=en-US</x:v>
      </x:c>
    </x:row>
    <x:row r="1158" ht="38" customHeight="1">
      <x:c r="A1158" s="7" t="str">
        <x:v>207679</x:v>
      </x:c>
      <x:c r="B1158" s="12" t="str">
        <x:v>Tae Kwon Do - Advanced</x:v>
      </x:c>
      <x:c r="C1158" s="12" t="str">
        <x:v>Woodstock Cmty Ctr</x:v>
      </x:c>
      <x:c r="D1158" s="12" t="str">
        <x:v>Sports - Martial Arts &amp; Self Defense</x:v>
      </x:c>
      <x:c r="E1158" s="7" t="str">
        <x:v>future</x:v>
      </x:c>
      <x:c r="F1158" s="7" t="str">
        <x:v>2026-10-01</x:v>
      </x:c>
      <x:c r="G1158" s="7" t="str">
        <x:v>2026-10-29</x:v>
      </x:c>
      <x:c r="H1158" s="7" t="n">
        <x:v>1</x:v>
      </x:c>
      <x:c r="I1158" s="7"/>
      <x:c r="J1158" s="7" t="n">
        <x:v>10</x:v>
      </x:c>
      <x:c r="K1158" s="7" t="str">
        <x:v>unverified-denominator</x:v>
      </x:c>
      <x:c r="L1158" s="7" t="d">
        <x:v>2026-09-16T05:12:38.111Z</x:v>
      </x:c>
      <x:c r="M1158" s="7" t="str">
        <x:v>https://apm.activecommunities.com/portlandparks/Activity_Search/tae-kwon-do---advanced/207679?locale=en-US</x:v>
      </x:c>
    </x:row>
    <x:row r="1159" ht="38" customHeight="1">
      <x:c r="A1159" s="8" t="str">
        <x:v>207680</x:v>
      </x:c>
      <x:c r="B1159" s="11" t="str">
        <x:v>Tae Kwon Do - Advanced</x:v>
      </x:c>
      <x:c r="C1159" s="11" t="str">
        <x:v>Woodstock Cmty Ctr</x:v>
      </x:c>
      <x:c r="D1159" s="11" t="str">
        <x:v>Sports - Martial Arts &amp; Self Defense</x:v>
      </x:c>
      <x:c r="E1159" s="8" t="str">
        <x:v>future</x:v>
      </x:c>
      <x:c r="F1159" s="8" t="str">
        <x:v>2026-10-02</x:v>
      </x:c>
      <x:c r="G1159" s="8" t="str">
        <x:v>2026-10-30</x:v>
      </x:c>
      <x:c r="H1159" s="8" t="n">
        <x:v>7</x:v>
      </x:c>
      <x:c r="I1159" s="8"/>
      <x:c r="J1159" s="8" t="n">
        <x:v>10</x:v>
      </x:c>
      <x:c r="K1159" s="8" t="str">
        <x:v>unverified-denominator</x:v>
      </x:c>
      <x:c r="L1159" s="8" t="d">
        <x:v>2026-09-16T05:12:38.111Z</x:v>
      </x:c>
      <x:c r="M1159" s="8" t="str">
        <x:v>https://apm.activecommunities.com/portlandparks/Activity_Search/tae-kwon-do---advanced/207680?locale=en-US</x:v>
      </x:c>
    </x:row>
    <x:row r="1160" ht="38" customHeight="1">
      <x:c r="A1160" s="7" t="str">
        <x:v>204696</x:v>
      </x:c>
      <x:c r="B1160" s="12" t="str">
        <x:v>Tae Kwon Do - Advanced</x:v>
      </x:c>
      <x:c r="C1160" s="12" t="str">
        <x:v>Woodstock Cmty Ctr</x:v>
      </x:c>
      <x:c r="D1160" s="12" t="str">
        <x:v>Sports - Martial Arts &amp; Self Defense</x:v>
      </x:c>
      <x:c r="E1160" s="7" t="str">
        <x:v>active</x:v>
      </x:c>
      <x:c r="F1160" s="7" t="str">
        <x:v>2026-09-03</x:v>
      </x:c>
      <x:c r="G1160" s="7" t="str">
        <x:v>2026-09-24</x:v>
      </x:c>
      <x:c r="H1160" s="7" t="n">
        <x:v>8</x:v>
      </x:c>
      <x:c r="I1160" s="7"/>
      <x:c r="J1160" s="7" t="n">
        <x:v>10</x:v>
      </x:c>
      <x:c r="K1160" s="7" t="str">
        <x:v>unverified-denominator</x:v>
      </x:c>
      <x:c r="L1160" s="7" t="d">
        <x:v>2026-09-16T05:12:38.111Z</x:v>
      </x:c>
      <x:c r="M1160" s="7" t="str">
        <x:v>https://apm.activecommunities.com/portlandparks/Activity_Search/tae-kwon-do---advanced/204696?locale=en-US</x:v>
      </x:c>
    </x:row>
    <x:row r="1161" ht="38" customHeight="1">
      <x:c r="A1161" s="8" t="str">
        <x:v>204697</x:v>
      </x:c>
      <x:c r="B1161" s="11" t="str">
        <x:v>Tae Kwon Do - Advanced</x:v>
      </x:c>
      <x:c r="C1161" s="11" t="str">
        <x:v>Woodstock Cmty Ctr</x:v>
      </x:c>
      <x:c r="D1161" s="11" t="str">
        <x:v>Sports - Martial Arts &amp; Self Defense</x:v>
      </x:c>
      <x:c r="E1161" s="8" t="str">
        <x:v>active</x:v>
      </x:c>
      <x:c r="F1161" s="8" t="str">
        <x:v>2026-09-04</x:v>
      </x:c>
      <x:c r="G1161" s="8" t="str">
        <x:v>2026-09-25</x:v>
      </x:c>
      <x:c r="H1161" s="8" t="n">
        <x:v>10</x:v>
      </x:c>
      <x:c r="I1161" s="8" t="n">
        <x:v>1</x:v>
      </x:c>
      <x:c r="J1161" s="8" t="n">
        <x:v>10</x:v>
      </x:c>
      <x:c r="K1161" s="8" t="str">
        <x:v>unverified-denominator</x:v>
      </x:c>
      <x:c r="L1161" s="8" t="d">
        <x:v>2026-09-16T05:12:38.111Z</x:v>
      </x:c>
      <x:c r="M1161" s="8" t="str">
        <x:v>https://apm.activecommunities.com/portlandparks/Activity_Search/tae-kwon-do---advanced/204697?locale=en-US</x:v>
      </x:c>
    </x:row>
    <x:row r="1162" ht="38" customHeight="1">
      <x:c r="A1162" s="7" t="str">
        <x:v>206257</x:v>
      </x:c>
      <x:c r="B1162" s="12" t="str">
        <x:v>Tae Kwon Do - Beginners</x:v>
      </x:c>
      <x:c r="C1162" s="12" t="str">
        <x:v>East Portland Cmty Ctr</x:v>
      </x:c>
      <x:c r="D1162" s="12" t="str">
        <x:v>Sports - Martial Arts &amp; Self Defense</x:v>
      </x:c>
      <x:c r="E1162" s="7" t="str">
        <x:v>active</x:v>
      </x:c>
      <x:c r="F1162" s="7" t="str">
        <x:v>2026-08-31</x:v>
      </x:c>
      <x:c r="G1162" s="7" t="str">
        <x:v>2026-09-24</x:v>
      </x:c>
      <x:c r="H1162" s="7" t="n">
        <x:v>15</x:v>
      </x:c>
      <x:c r="I1162" s="7"/>
      <x:c r="J1162" s="7" t="n">
        <x:v>20</x:v>
      </x:c>
      <x:c r="K1162" s="7" t="str">
        <x:v>unverified-denominator</x:v>
      </x:c>
      <x:c r="L1162" s="7" t="d">
        <x:v>2026-09-16T05:12:38.111Z</x:v>
      </x:c>
      <x:c r="M1162" s="7" t="str">
        <x:v>https://apm.activecommunities.com/portlandparks/Activity_Search/tae-kwon-do---beginners/206257?locale=en-US</x:v>
      </x:c>
    </x:row>
    <x:row r="1163" ht="38" customHeight="1">
      <x:c r="A1163" s="8" t="str">
        <x:v>208788</x:v>
      </x:c>
      <x:c r="B1163" s="11" t="str">
        <x:v>Tae Kwon Do - Beginners</x:v>
      </x:c>
      <x:c r="C1163" s="11" t="str">
        <x:v>East Portland Cmty Ctr</x:v>
      </x:c>
      <x:c r="D1163" s="11" t="str">
        <x:v>Sports - Martial Arts &amp; Self Defense</x:v>
      </x:c>
      <x:c r="E1163" s="8" t="str">
        <x:v>future</x:v>
      </x:c>
      <x:c r="F1163" s="8" t="str">
        <x:v>2026-09-28</x:v>
      </x:c>
      <x:c r="G1163" s="8" t="str">
        <x:v>2026-12-28</x:v>
      </x:c>
      <x:c r="H1163" s="8" t="n">
        <x:v>7</x:v>
      </x:c>
      <x:c r="I1163" s="8"/>
      <x:c r="J1163" s="8" t="n">
        <x:v>20</x:v>
      </x:c>
      <x:c r="K1163" s="8" t="str">
        <x:v>unverified-denominator</x:v>
      </x:c>
      <x:c r="L1163" s="8" t="d">
        <x:v>2026-09-16T05:12:38.111Z</x:v>
      </x:c>
      <x:c r="M1163" s="8" t="str">
        <x:v>https://apm.activecommunities.com/portlandparks/Activity_Search/tae-kwon-do---beginners/208788?locale=en-US</x:v>
      </x:c>
    </x:row>
    <x:row r="1164" ht="38" customHeight="1">
      <x:c r="A1164" s="7" t="str">
        <x:v>207868</x:v>
      </x:c>
      <x:c r="B1164" s="12" t="str">
        <x:v>Tae Kwon Do - Brown &amp; Black Belt</x:v>
      </x:c>
      <x:c r="C1164" s="12" t="str">
        <x:v>Montavilla Cmty Ctr</x:v>
      </x:c>
      <x:c r="D1164" s="12" t="str">
        <x:v>Sports - Martial Arts &amp; Self Defense</x:v>
      </x:c>
      <x:c r="E1164" s="7" t="str">
        <x:v>future</x:v>
      </x:c>
      <x:c r="F1164" s="7" t="str">
        <x:v>2026-10-03</x:v>
      </x:c>
      <x:c r="G1164" s="7" t="str">
        <x:v>2026-12-12</x:v>
      </x:c>
      <x:c r="H1164" s="7" t="n">
        <x:v>0</x:v>
      </x:c>
      <x:c r="I1164" s="7"/>
      <x:c r="J1164" s="7" t="n">
        <x:v>20</x:v>
      </x:c>
      <x:c r="K1164" s="7" t="str">
        <x:v>unverified-denominator</x:v>
      </x:c>
      <x:c r="L1164" s="7" t="d">
        <x:v>2026-09-16T05:12:38.111Z</x:v>
      </x:c>
      <x:c r="M1164" s="7" t="str">
        <x:v>https://apm.activecommunities.com/portlandparks/Activity_Search/tae-kwon-do---brown-black-belt/207868?locale=en-US</x:v>
      </x:c>
    </x:row>
    <x:row r="1165" ht="38" customHeight="1">
      <x:c r="A1165" s="8" t="str">
        <x:v>198603</x:v>
      </x:c>
      <x:c r="B1165" s="11" t="str">
        <x:v>Tae Kwon Do - Brown &amp; Black Belt</x:v>
      </x:c>
      <x:c r="C1165" s="11" t="str">
        <x:v>Montavilla Cmty Ctr</x:v>
      </x:c>
      <x:c r="D1165" s="11" t="str">
        <x:v>Sports - Martial Arts &amp; Self Defense</x:v>
      </x:c>
      <x:c r="E1165" s="8" t="str">
        <x:v>active</x:v>
      </x:c>
      <x:c r="F1165" s="8" t="str">
        <x:v>2026-09-05</x:v>
      </x:c>
      <x:c r="G1165" s="8" t="str">
        <x:v>2026-09-26</x:v>
      </x:c>
      <x:c r="H1165" s="8" t="n">
        <x:v>6</x:v>
      </x:c>
      <x:c r="I1165" s="8"/>
      <x:c r="J1165" s="8" t="n">
        <x:v>20</x:v>
      </x:c>
      <x:c r="K1165" s="8" t="str">
        <x:v>unverified-denominator</x:v>
      </x:c>
      <x:c r="L1165" s="8" t="d">
        <x:v>2026-09-16T05:12:38.111Z</x:v>
      </x:c>
      <x:c r="M1165" s="8" t="str">
        <x:v>https://apm.activecommunities.com/portlandparks/Activity_Search/tae-kwon-do---brown-black-belt/198603?locale=en-US</x:v>
      </x:c>
    </x:row>
    <x:row r="1166" ht="38" customHeight="1">
      <x:c r="A1166" s="7" t="str">
        <x:v>198427</x:v>
      </x:c>
      <x:c r="B1166" s="12" t="str">
        <x:v>Tae Kwon Do - First Kicks</x:v>
      </x:c>
      <x:c r="C1166" s="12" t="str">
        <x:v>Southwest Cmty Ctr</x:v>
      </x:c>
      <x:c r="D1166" s="12" t="str">
        <x:v>Sports - Martial Arts &amp; Self Defense</x:v>
      </x:c>
      <x:c r="E1166" s="7" t="str">
        <x:v>active</x:v>
      </x:c>
      <x:c r="F1166" s="7" t="str">
        <x:v>2026-09-01</x:v>
      </x:c>
      <x:c r="G1166" s="7" t="str">
        <x:v>2026-09-29</x:v>
      </x:c>
      <x:c r="H1166" s="7" t="n">
        <x:v>26</x:v>
      </x:c>
      <x:c r="I1166" s="7" t="n">
        <x:v>14</x:v>
      </x:c>
      <x:c r="J1166" s="7" t="n">
        <x:v>25</x:v>
      </x:c>
      <x:c r="K1166" s="7" t="str">
        <x:v>unverified-denominator</x:v>
      </x:c>
      <x:c r="L1166" s="7" t="d">
        <x:v>2026-09-16T05:12:38.111Z</x:v>
      </x:c>
      <x:c r="M1166" s="7" t="str">
        <x:v>https://apm.activecommunities.com/portlandparks/Activity_Search/tae-kwon-do---first-kicks/198427?locale=en-US</x:v>
      </x:c>
    </x:row>
    <x:row r="1167" ht="38" customHeight="1">
      <x:c r="A1167" s="8" t="str">
        <x:v>207918</x:v>
      </x:c>
      <x:c r="B1167" s="11" t="str">
        <x:v>Tae Kwon Do - First Kicks</x:v>
      </x:c>
      <x:c r="C1167" s="11" t="str">
        <x:v>Woodstock Cmty Ctr</x:v>
      </x:c>
      <x:c r="D1167" s="11" t="str">
        <x:v>Sports - Martial Arts &amp; Self Defense</x:v>
      </x:c>
      <x:c r="E1167" s="8" t="str">
        <x:v>future</x:v>
      </x:c>
      <x:c r="F1167" s="8" t="str">
        <x:v>2026-11-06</x:v>
      </x:c>
      <x:c r="G1167" s="8" t="str">
        <x:v>2026-12-11</x:v>
      </x:c>
      <x:c r="H1167" s="8" t="n">
        <x:v>0</x:v>
      </x:c>
      <x:c r="I1167" s="8"/>
      <x:c r="J1167" s="8" t="n">
        <x:v>15</x:v>
      </x:c>
      <x:c r="K1167" s="8" t="str">
        <x:v>unverified-denominator</x:v>
      </x:c>
      <x:c r="L1167" s="8" t="d">
        <x:v>2026-09-16T05:12:38.111Z</x:v>
      </x:c>
      <x:c r="M1167" s="8" t="str">
        <x:v>https://apm.activecommunities.com/portlandparks/Activity_Search/tae-kwon-do---first-kicks/207918?locale=en-US</x:v>
      </x:c>
    </x:row>
    <x:row r="1168" ht="38" customHeight="1">
      <x:c r="A1168" s="7" t="str">
        <x:v>207919</x:v>
      </x:c>
      <x:c r="B1168" s="12" t="str">
        <x:v>Tae Kwon Do - First Kicks</x:v>
      </x:c>
      <x:c r="C1168" s="12" t="str">
        <x:v>Woodstock Cmty Ctr</x:v>
      </x:c>
      <x:c r="D1168" s="12" t="str">
        <x:v>Sports - Martial Arts &amp; Self Defense</x:v>
      </x:c>
      <x:c r="E1168" s="7" t="str">
        <x:v>future</x:v>
      </x:c>
      <x:c r="F1168" s="7" t="str">
        <x:v>2026-11-12</x:v>
      </x:c>
      <x:c r="G1168" s="7" t="str">
        <x:v>2026-12-10</x:v>
      </x:c>
      <x:c r="H1168" s="7" t="n">
        <x:v>0</x:v>
      </x:c>
      <x:c r="I1168" s="7"/>
      <x:c r="J1168" s="7" t="n">
        <x:v>15</x:v>
      </x:c>
      <x:c r="K1168" s="7" t="str">
        <x:v>unverified-denominator</x:v>
      </x:c>
      <x:c r="L1168" s="7" t="d">
        <x:v>2026-09-16T05:12:38.111Z</x:v>
      </x:c>
      <x:c r="M1168" s="7" t="str">
        <x:v>https://apm.activecommunities.com/portlandparks/Activity_Search/tae-kwon-do---first-kicks/207919?locale=en-US</x:v>
      </x:c>
    </x:row>
    <x:row r="1169" ht="38" customHeight="1">
      <x:c r="A1169" s="8" t="str">
        <x:v>207681</x:v>
      </x:c>
      <x:c r="B1169" s="11" t="str">
        <x:v>Tae Kwon Do - First Kicks</x:v>
      </x:c>
      <x:c r="C1169" s="11" t="str">
        <x:v>Woodstock Cmty Ctr</x:v>
      </x:c>
      <x:c r="D1169" s="11" t="str">
        <x:v>Sports - Martial Arts &amp; Self Defense</x:v>
      </x:c>
      <x:c r="E1169" s="8" t="str">
        <x:v>future</x:v>
      </x:c>
      <x:c r="F1169" s="8" t="str">
        <x:v>2026-10-02</x:v>
      </x:c>
      <x:c r="G1169" s="8" t="str">
        <x:v>2026-10-30</x:v>
      </x:c>
      <x:c r="H1169" s="8" t="n">
        <x:v>8</x:v>
      </x:c>
      <x:c r="I1169" s="8"/>
      <x:c r="J1169" s="8" t="n">
        <x:v>15</x:v>
      </x:c>
      <x:c r="K1169" s="8" t="str">
        <x:v>unverified-denominator</x:v>
      </x:c>
      <x:c r="L1169" s="8" t="d">
        <x:v>2026-09-16T05:12:38.111Z</x:v>
      </x:c>
      <x:c r="M1169" s="8" t="str">
        <x:v>https://apm.activecommunities.com/portlandparks/Activity_Search/tae-kwon-do---first-kicks/207681?locale=en-US</x:v>
      </x:c>
    </x:row>
    <x:row r="1170" ht="38" customHeight="1">
      <x:c r="A1170" s="7" t="str">
        <x:v>207682</x:v>
      </x:c>
      <x:c r="B1170" s="12" t="str">
        <x:v>Tae Kwon Do - First Kicks</x:v>
      </x:c>
      <x:c r="C1170" s="12" t="str">
        <x:v>Woodstock Cmty Ctr</x:v>
      </x:c>
      <x:c r="D1170" s="12" t="str">
        <x:v>Sports - Martial Arts &amp; Self Defense</x:v>
      </x:c>
      <x:c r="E1170" s="7" t="str">
        <x:v>future</x:v>
      </x:c>
      <x:c r="F1170" s="7" t="str">
        <x:v>2026-10-01</x:v>
      </x:c>
      <x:c r="G1170" s="7" t="str">
        <x:v>2026-10-29</x:v>
      </x:c>
      <x:c r="H1170" s="7" t="n">
        <x:v>14</x:v>
      </x:c>
      <x:c r="I1170" s="7"/>
      <x:c r="J1170" s="7" t="n">
        <x:v>15</x:v>
      </x:c>
      <x:c r="K1170" s="7" t="str">
        <x:v>unverified-denominator</x:v>
      </x:c>
      <x:c r="L1170" s="7" t="d">
        <x:v>2026-09-16T05:12:38.111Z</x:v>
      </x:c>
      <x:c r="M1170" s="7" t="str">
        <x:v>https://apm.activecommunities.com/portlandparks/Activity_Search/tae-kwon-do---first-kicks/207682?locale=en-US</x:v>
      </x:c>
    </x:row>
    <x:row r="1171" ht="38" customHeight="1">
      <x:c r="A1171" s="8" t="str">
        <x:v>208588</x:v>
      </x:c>
      <x:c r="B1171" s="11" t="str">
        <x:v>Tae Kwon Do - First Kicks</x:v>
      </x:c>
      <x:c r="C1171" s="11" t="str">
        <x:v>Southwest Cmty Ctr</x:v>
      </x:c>
      <x:c r="D1171" s="11" t="str">
        <x:v>Sports - Martial Arts &amp; Self Defense</x:v>
      </x:c>
      <x:c r="E1171" s="8" t="str">
        <x:v>future</x:v>
      </x:c>
      <x:c r="F1171" s="8" t="str">
        <x:v>2026-10-06</x:v>
      </x:c>
      <x:c r="G1171" s="8" t="str">
        <x:v>2026-10-27</x:v>
      </x:c>
      <x:c r="H1171" s="8" t="n">
        <x:v>25</x:v>
      </x:c>
      <x:c r="I1171" s="8" t="n">
        <x:v>4</x:v>
      </x:c>
      <x:c r="J1171" s="8" t="n">
        <x:v>25</x:v>
      </x:c>
      <x:c r="K1171" s="8" t="str">
        <x:v>unverified-denominator</x:v>
      </x:c>
      <x:c r="L1171" s="8" t="d">
        <x:v>2026-09-16T05:12:38.111Z</x:v>
      </x:c>
      <x:c r="M1171" s="8" t="str">
        <x:v>https://apm.activecommunities.com/portlandparks/Activity_Search/tae-kwon-do---first-kicks/208588?locale=en-US</x:v>
      </x:c>
    </x:row>
    <x:row r="1172" ht="38" customHeight="1">
      <x:c r="A1172" s="7" t="str">
        <x:v>208589</x:v>
      </x:c>
      <x:c r="B1172" s="12" t="str">
        <x:v>Tae Kwon Do - First Kicks</x:v>
      </x:c>
      <x:c r="C1172" s="12" t="str">
        <x:v>Southwest Cmty Ctr</x:v>
      </x:c>
      <x:c r="D1172" s="12" t="str">
        <x:v>Sports - Martial Arts &amp; Self Defense</x:v>
      </x:c>
      <x:c r="E1172" s="7" t="str">
        <x:v>future</x:v>
      </x:c>
      <x:c r="F1172" s="7" t="str">
        <x:v>2026-11-03</x:v>
      </x:c>
      <x:c r="G1172" s="7" t="str">
        <x:v>2026-11-24</x:v>
      </x:c>
      <x:c r="H1172" s="7" t="n">
        <x:v>13</x:v>
      </x:c>
      <x:c r="I1172" s="7"/>
      <x:c r="J1172" s="7" t="n">
        <x:v>25</x:v>
      </x:c>
      <x:c r="K1172" s="7" t="str">
        <x:v>unverified-denominator</x:v>
      </x:c>
      <x:c r="L1172" s="7" t="d">
        <x:v>2026-09-16T05:12:38.111Z</x:v>
      </x:c>
      <x:c r="M1172" s="7" t="str">
        <x:v>https://apm.activecommunities.com/portlandparks/Activity_Search/tae-kwon-do---first-kicks/208589?locale=en-US</x:v>
      </x:c>
    </x:row>
    <x:row r="1173" ht="38" customHeight="1">
      <x:c r="A1173" s="8" t="str">
        <x:v>208590</x:v>
      </x:c>
      <x:c r="B1173" s="11" t="str">
        <x:v>Tae Kwon Do - First Kicks</x:v>
      </x:c>
      <x:c r="C1173" s="11" t="str">
        <x:v>Southwest Cmty Ctr</x:v>
      </x:c>
      <x:c r="D1173" s="11" t="str">
        <x:v>Sports - Martial Arts &amp; Self Defense</x:v>
      </x:c>
      <x:c r="E1173" s="8" t="str">
        <x:v>future</x:v>
      </x:c>
      <x:c r="F1173" s="8" t="str">
        <x:v>2026-12-01</x:v>
      </x:c>
      <x:c r="G1173" s="8" t="str">
        <x:v>2026-12-29</x:v>
      </x:c>
      <x:c r="H1173" s="8" t="n">
        <x:v>13</x:v>
      </x:c>
      <x:c r="I1173" s="8"/>
      <x:c r="J1173" s="8" t="n">
        <x:v>25</x:v>
      </x:c>
      <x:c r="K1173" s="8" t="str">
        <x:v>unverified-denominator</x:v>
      </x:c>
      <x:c r="L1173" s="8" t="d">
        <x:v>2026-09-16T05:12:38.111Z</x:v>
      </x:c>
      <x:c r="M1173" s="8" t="str">
        <x:v>https://apm.activecommunities.com/portlandparks/Activity_Search/tae-kwon-do---first-kicks/208590?locale=en-US</x:v>
      </x:c>
    </x:row>
    <x:row r="1174" ht="38" customHeight="1">
      <x:c r="A1174" s="7" t="str">
        <x:v>204698</x:v>
      </x:c>
      <x:c r="B1174" s="12" t="str">
        <x:v>Tae Kwon Do - First Kicks</x:v>
      </x:c>
      <x:c r="C1174" s="12" t="str">
        <x:v>Woodstock Cmty Ctr</x:v>
      </x:c>
      <x:c r="D1174" s="12" t="str">
        <x:v>Sports - Martial Arts &amp; Self Defense</x:v>
      </x:c>
      <x:c r="E1174" s="7" t="str">
        <x:v>active</x:v>
      </x:c>
      <x:c r="F1174" s="7" t="str">
        <x:v>2026-09-04</x:v>
      </x:c>
      <x:c r="G1174" s="7" t="str">
        <x:v>2026-09-25</x:v>
      </x:c>
      <x:c r="H1174" s="7" t="n">
        <x:v>14</x:v>
      </x:c>
      <x:c r="I1174" s="7" t="n">
        <x:v>1</x:v>
      </x:c>
      <x:c r="J1174" s="7" t="n">
        <x:v>15</x:v>
      </x:c>
      <x:c r="K1174" s="7" t="str">
        <x:v>unverified-denominator</x:v>
      </x:c>
      <x:c r="L1174" s="7" t="d">
        <x:v>2026-09-16T05:12:38.111Z</x:v>
      </x:c>
      <x:c r="M1174" s="7" t="str">
        <x:v>https://apm.activecommunities.com/portlandparks/Activity_Search/tae-kwon-do---first-kicks/204698?locale=en-US</x:v>
      </x:c>
    </x:row>
    <x:row r="1175" ht="38" customHeight="1">
      <x:c r="A1175" s="8" t="str">
        <x:v>204699</x:v>
      </x:c>
      <x:c r="B1175" s="11" t="str">
        <x:v>Tae Kwon Do - First Kicks</x:v>
      </x:c>
      <x:c r="C1175" s="11" t="str">
        <x:v>Woodstock Cmty Ctr</x:v>
      </x:c>
      <x:c r="D1175" s="11" t="str">
        <x:v>Sports - Martial Arts &amp; Self Defense</x:v>
      </x:c>
      <x:c r="E1175" s="8" t="str">
        <x:v>active</x:v>
      </x:c>
      <x:c r="F1175" s="8" t="str">
        <x:v>2026-09-03</x:v>
      </x:c>
      <x:c r="G1175" s="8" t="str">
        <x:v>2026-09-24</x:v>
      </x:c>
      <x:c r="H1175" s="8" t="n">
        <x:v>17</x:v>
      </x:c>
      <x:c r="I1175" s="8" t="n">
        <x:v>4</x:v>
      </x:c>
      <x:c r="J1175" s="8" t="n">
        <x:v>15</x:v>
      </x:c>
      <x:c r="K1175" s="8" t="str">
        <x:v>unverified-denominator</x:v>
      </x:c>
      <x:c r="L1175" s="8" t="d">
        <x:v>2026-09-16T05:12:38.111Z</x:v>
      </x:c>
      <x:c r="M1175" s="8" t="str">
        <x:v>https://apm.activecommunities.com/portlandparks/Activity_Search/tae-kwon-do---first-kicks/204699?locale=en-US</x:v>
      </x:c>
    </x:row>
    <x:row r="1176" ht="38" customHeight="1">
      <x:c r="A1176" s="7" t="str">
        <x:v>208647</x:v>
      </x:c>
      <x:c r="B1176" s="12" t="str">
        <x:v>Tae Kwon Do - For Adults</x:v>
      </x:c>
      <x:c r="C1176" s="12" t="str">
        <x:v>Charles Jordan Cmty Ctr</x:v>
      </x:c>
      <x:c r="D1176" s="12" t="str">
        <x:v>Sports - Martial Arts &amp; Self Defense</x:v>
      </x:c>
      <x:c r="E1176" s="7" t="str">
        <x:v>future</x:v>
      </x:c>
      <x:c r="F1176" s="7" t="str">
        <x:v>2026-09-29</x:v>
      </x:c>
      <x:c r="G1176" s="7" t="str">
        <x:v>2026-10-27</x:v>
      </x:c>
      <x:c r="H1176" s="7" t="n">
        <x:v>1</x:v>
      </x:c>
      <x:c r="I1176" s="7"/>
      <x:c r="J1176" s="7" t="n">
        <x:v>30</x:v>
      </x:c>
      <x:c r="K1176" s="7" t="str">
        <x:v>unverified-denominator</x:v>
      </x:c>
      <x:c r="L1176" s="7" t="d">
        <x:v>2026-09-16T05:12:38.111Z</x:v>
      </x:c>
      <x:c r="M1176" s="7" t="str">
        <x:v>https://apm.activecommunities.com/portlandparks/Activity_Search/tae-kwon-do---for-adults/208647?locale=en-US</x:v>
      </x:c>
    </x:row>
    <x:row r="1177" ht="38" customHeight="1">
      <x:c r="A1177" s="8" t="str">
        <x:v>208648</x:v>
      </x:c>
      <x:c r="B1177" s="11" t="str">
        <x:v>Tae Kwon Do - For Adults</x:v>
      </x:c>
      <x:c r="C1177" s="11" t="str">
        <x:v>Charles Jordan Cmty Ctr</x:v>
      </x:c>
      <x:c r="D1177" s="11" t="str">
        <x:v>Sports - Martial Arts &amp; Self Defense</x:v>
      </x:c>
      <x:c r="E1177" s="8" t="str">
        <x:v>future</x:v>
      </x:c>
      <x:c r="F1177" s="8" t="str">
        <x:v>2026-11-03</x:v>
      </x:c>
      <x:c r="G1177" s="8" t="str">
        <x:v>2026-12-01</x:v>
      </x:c>
      <x:c r="H1177" s="8" t="n">
        <x:v>0</x:v>
      </x:c>
      <x:c r="I1177" s="8"/>
      <x:c r="J1177" s="8" t="n">
        <x:v>30</x:v>
      </x:c>
      <x:c r="K1177" s="8" t="str">
        <x:v>unverified-denominator</x:v>
      </x:c>
      <x:c r="L1177" s="8" t="d">
        <x:v>2026-09-16T05:12:38.111Z</x:v>
      </x:c>
      <x:c r="M1177" s="8" t="str">
        <x:v>https://apm.activecommunities.com/portlandparks/Activity_Search/tae-kwon-do---for-adults/208648?locale=en-US</x:v>
      </x:c>
    </x:row>
    <x:row r="1178" ht="38" customHeight="1">
      <x:c r="A1178" s="7" t="str">
        <x:v>198608</x:v>
      </x:c>
      <x:c r="B1178" s="12" t="str">
        <x:v>Tae Kwon Do - For Everybody</x:v>
      </x:c>
      <x:c r="C1178" s="12" t="str">
        <x:v>Montavilla Cmty Ctr</x:v>
      </x:c>
      <x:c r="D1178" s="12" t="str">
        <x:v>Sports - Martial Arts &amp; Self Defense</x:v>
      </x:c>
      <x:c r="E1178" s="7" t="str">
        <x:v>active</x:v>
      </x:c>
      <x:c r="F1178" s="7" t="str">
        <x:v>2026-09-05</x:v>
      </x:c>
      <x:c r="G1178" s="7" t="str">
        <x:v>2026-09-26</x:v>
      </x:c>
      <x:c r="H1178" s="7" t="n">
        <x:v>14</x:v>
      </x:c>
      <x:c r="I1178" s="7" t="n">
        <x:v>1</x:v>
      </x:c>
      <x:c r="J1178" s="7" t="n">
        <x:v>15</x:v>
      </x:c>
      <x:c r="K1178" s="7" t="str">
        <x:v>unverified-denominator</x:v>
      </x:c>
      <x:c r="L1178" s="7" t="d">
        <x:v>2026-09-16T05:12:38.111Z</x:v>
      </x:c>
      <x:c r="M1178" s="7" t="str">
        <x:v>https://apm.activecommunities.com/portlandparks/Activity_Search/tae-kwon-do---for-everybody/198608?locale=en-US</x:v>
      </x:c>
    </x:row>
    <x:row r="1179" ht="38" customHeight="1">
      <x:c r="A1179" s="8" t="str">
        <x:v>208646</x:v>
      </x:c>
      <x:c r="B1179" s="11" t="str">
        <x:v>Tae Kwon Do - For Everybody</x:v>
      </x:c>
      <x:c r="C1179" s="11" t="str">
        <x:v>Charles Jordan Cmty Ctr</x:v>
      </x:c>
      <x:c r="D1179" s="11" t="str">
        <x:v>Sports - Martial Arts &amp; Self Defense</x:v>
      </x:c>
      <x:c r="E1179" s="8" t="str">
        <x:v>future</x:v>
      </x:c>
      <x:c r="F1179" s="8" t="str">
        <x:v>2026-09-28</x:v>
      </x:c>
      <x:c r="G1179" s="8" t="str">
        <x:v>2026-10-29</x:v>
      </x:c>
      <x:c r="H1179" s="8" t="n">
        <x:v>9</x:v>
      </x:c>
      <x:c r="I1179" s="8"/>
      <x:c r="J1179" s="8" t="n">
        <x:v>30</x:v>
      </x:c>
      <x:c r="K1179" s="8" t="str">
        <x:v>unverified-denominator</x:v>
      </x:c>
      <x:c r="L1179" s="8" t="d">
        <x:v>2026-09-16T05:12:38.111Z</x:v>
      </x:c>
      <x:c r="M1179" s="8" t="str">
        <x:v>https://apm.activecommunities.com/portlandparks/Activity_Search/tae-kwon-do---for-everybody/208646?locale=en-US</x:v>
      </x:c>
    </x:row>
    <x:row r="1180" ht="38" customHeight="1">
      <x:c r="A1180" s="7" t="str">
        <x:v>208635</x:v>
      </x:c>
      <x:c r="B1180" s="12" t="str">
        <x:v>Tae Kwon Do - For Everybody</x:v>
      </x:c>
      <x:c r="C1180" s="12" t="str">
        <x:v>Charles Jordan Cmty Ctr</x:v>
      </x:c>
      <x:c r="D1180" s="12" t="str">
        <x:v>Sports - Martial Arts &amp; Self Defense</x:v>
      </x:c>
      <x:c r="E1180" s="7" t="str">
        <x:v>future</x:v>
      </x:c>
      <x:c r="F1180" s="7" t="str">
        <x:v>2026-11-02</x:v>
      </x:c>
      <x:c r="G1180" s="7" t="str">
        <x:v>2026-12-10</x:v>
      </x:c>
      <x:c r="H1180" s="7" t="n">
        <x:v>0</x:v>
      </x:c>
      <x:c r="I1180" s="7"/>
      <x:c r="J1180" s="7" t="n">
        <x:v>30</x:v>
      </x:c>
      <x:c r="K1180" s="7" t="str">
        <x:v>unverified-denominator</x:v>
      </x:c>
      <x:c r="L1180" s="7" t="d">
        <x:v>2026-09-16T05:12:38.111Z</x:v>
      </x:c>
      <x:c r="M1180" s="7" t="str">
        <x:v>https://apm.activecommunities.com/portlandparks/Activity_Search/tae-kwon-do---for-everybody/208635?locale=en-US</x:v>
      </x:c>
    </x:row>
    <x:row r="1181" ht="38" customHeight="1">
      <x:c r="A1181" s="8" t="str">
        <x:v>208747</x:v>
      </x:c>
      <x:c r="B1181" s="11" t="str">
        <x:v>Tae Kwon Do - For Everybody</x:v>
      </x:c>
      <x:c r="C1181" s="11" t="str">
        <x:v>St Johns Cmty Ctr</x:v>
      </x:c>
      <x:c r="D1181" s="11" t="str">
        <x:v>Sports - Martial Arts &amp; Self Defense</x:v>
      </x:c>
      <x:c r="E1181" s="8" t="str">
        <x:v>future</x:v>
      </x:c>
      <x:c r="F1181" s="8" t="str">
        <x:v>2026-10-01</x:v>
      </x:c>
      <x:c r="G1181" s="8" t="str">
        <x:v>2026-10-27</x:v>
      </x:c>
      <x:c r="H1181" s="8" t="n">
        <x:v>18</x:v>
      </x:c>
      <x:c r="I1181" s="8"/>
      <x:c r="J1181" s="8" t="n">
        <x:v>15</x:v>
      </x:c>
      <x:c r="K1181" s="8" t="str">
        <x:v>unverified-denominator</x:v>
      </x:c>
      <x:c r="L1181" s="8" t="d">
        <x:v>2026-09-16T05:12:38.111Z</x:v>
      </x:c>
      <x:c r="M1181" s="8" t="str">
        <x:v>https://apm.activecommunities.com/portlandparks/Activity_Search/tae-kwon-do---for-everybody/208747?locale=en-US</x:v>
      </x:c>
    </x:row>
    <x:row r="1182" ht="38" customHeight="1">
      <x:c r="A1182" s="7" t="str">
        <x:v>208748</x:v>
      </x:c>
      <x:c r="B1182" s="12" t="str">
        <x:v>Tae Kwon Do - For Everybody</x:v>
      </x:c>
      <x:c r="C1182" s="12" t="str">
        <x:v>St Johns Cmty Ctr</x:v>
      </x:c>
      <x:c r="D1182" s="12" t="str">
        <x:v>Sports - Martial Arts &amp; Self Defense</x:v>
      </x:c>
      <x:c r="E1182" s="7" t="str">
        <x:v>future</x:v>
      </x:c>
      <x:c r="F1182" s="7" t="str">
        <x:v>2026-11-03</x:v>
      </x:c>
      <x:c r="G1182" s="7" t="str">
        <x:v>2026-11-19</x:v>
      </x:c>
      <x:c r="H1182" s="7" t="n">
        <x:v>0</x:v>
      </x:c>
      <x:c r="I1182" s="7"/>
      <x:c r="J1182" s="7" t="n">
        <x:v>15</x:v>
      </x:c>
      <x:c r="K1182" s="7" t="str">
        <x:v>unverified-denominator</x:v>
      </x:c>
      <x:c r="L1182" s="7" t="d">
        <x:v>2026-09-16T05:12:38.111Z</x:v>
      </x:c>
      <x:c r="M1182" s="7" t="str">
        <x:v>https://apm.activecommunities.com/portlandparks/Activity_Search/tae-kwon-do---for-everybody/208748?locale=en-US</x:v>
      </x:c>
    </x:row>
    <x:row r="1183" ht="38" customHeight="1">
      <x:c r="A1183" s="8" t="str">
        <x:v>208749</x:v>
      </x:c>
      <x:c r="B1183" s="11" t="str">
        <x:v>Tae Kwon Do - For Everybody</x:v>
      </x:c>
      <x:c r="C1183" s="11" t="str">
        <x:v>St Johns Cmty Ctr</x:v>
      </x:c>
      <x:c r="D1183" s="11" t="str">
        <x:v>Sports - Martial Arts &amp; Self Defense</x:v>
      </x:c>
      <x:c r="E1183" s="8" t="str">
        <x:v>future</x:v>
      </x:c>
      <x:c r="F1183" s="8" t="str">
        <x:v>2026-12-01</x:v>
      </x:c>
      <x:c r="G1183" s="8" t="str">
        <x:v>2026-12-17</x:v>
      </x:c>
      <x:c r="H1183" s="8" t="n">
        <x:v>0</x:v>
      </x:c>
      <x:c r="I1183" s="8"/>
      <x:c r="J1183" s="8" t="n">
        <x:v>15</x:v>
      </x:c>
      <x:c r="K1183" s="8" t="str">
        <x:v>unverified-denominator</x:v>
      </x:c>
      <x:c r="L1183" s="8" t="d">
        <x:v>2026-09-16T05:12:38.111Z</x:v>
      </x:c>
      <x:c r="M1183" s="8" t="str">
        <x:v>https://apm.activecommunities.com/portlandparks/Activity_Search/tae-kwon-do---for-everybody/208749?locale=en-US</x:v>
      </x:c>
    </x:row>
    <x:row r="1184" ht="38" customHeight="1">
      <x:c r="A1184" s="7" t="str">
        <x:v>207827</x:v>
      </x:c>
      <x:c r="B1184" s="12" t="str">
        <x:v>Tae Kwon Do - For Everybody</x:v>
      </x:c>
      <x:c r="C1184" s="12" t="str">
        <x:v>East Portland Cmty Ctr</x:v>
      </x:c>
      <x:c r="D1184" s="12" t="str">
        <x:v>Sports - Martial Arts &amp; Self Defense</x:v>
      </x:c>
      <x:c r="E1184" s="7" t="str">
        <x:v>future</x:v>
      </x:c>
      <x:c r="F1184" s="7" t="str">
        <x:v>2026-10-02</x:v>
      </x:c>
      <x:c r="G1184" s="7" t="str">
        <x:v>2026-12-18</x:v>
      </x:c>
      <x:c r="H1184" s="7" t="n">
        <x:v>0</x:v>
      </x:c>
      <x:c r="I1184" s="7"/>
      <x:c r="J1184" s="7" t="n">
        <x:v>20</x:v>
      </x:c>
      <x:c r="K1184" s="7" t="str">
        <x:v>unverified-denominator</x:v>
      </x:c>
      <x:c r="L1184" s="7" t="d">
        <x:v>2026-09-16T05:12:38.111Z</x:v>
      </x:c>
      <x:c r="M1184" s="7" t="str">
        <x:v>https://apm.activecommunities.com/portlandparks/Activity_Search/tae-kwon-do---for-everybody/207827?locale=en-US</x:v>
      </x:c>
    </x:row>
    <x:row r="1185" ht="38" customHeight="1">
      <x:c r="A1185" s="8" t="str">
        <x:v>207828</x:v>
      </x:c>
      <x:c r="B1185" s="11" t="str">
        <x:v>Tae Kwon Do - For Everybody</x:v>
      </x:c>
      <x:c r="C1185" s="11" t="str">
        <x:v>East Portland Cmty Ctr</x:v>
      </x:c>
      <x:c r="D1185" s="11" t="str">
        <x:v>Sports - Martial Arts &amp; Self Defense</x:v>
      </x:c>
      <x:c r="E1185" s="8" t="str">
        <x:v>future</x:v>
      </x:c>
      <x:c r="F1185" s="8" t="str">
        <x:v>2026-10-02</x:v>
      </x:c>
      <x:c r="G1185" s="8" t="str">
        <x:v>2026-12-11</x:v>
      </x:c>
      <x:c r="H1185" s="8" t="n">
        <x:v>0</x:v>
      </x:c>
      <x:c r="I1185" s="8"/>
      <x:c r="J1185" s="8" t="n">
        <x:v>20</x:v>
      </x:c>
      <x:c r="K1185" s="8" t="str">
        <x:v>unverified-denominator</x:v>
      </x:c>
      <x:c r="L1185" s="8" t="d">
        <x:v>2026-09-16T05:12:38.111Z</x:v>
      </x:c>
      <x:c r="M1185" s="8" t="str">
        <x:v>https://apm.activecommunities.com/portlandparks/Activity_Search/tae-kwon-do---for-everybody/207828?locale=en-US</x:v>
      </x:c>
    </x:row>
    <x:row r="1186" ht="38" customHeight="1">
      <x:c r="A1186" s="7" t="str">
        <x:v>207873</x:v>
      </x:c>
      <x:c r="B1186" s="12" t="str">
        <x:v>Tae Kwon Do - For Everybody</x:v>
      </x:c>
      <x:c r="C1186" s="12" t="str">
        <x:v>Montavilla Cmty Ctr</x:v>
      </x:c>
      <x:c r="D1186" s="12" t="str">
        <x:v>Sports - Martial Arts &amp; Self Defense</x:v>
      </x:c>
      <x:c r="E1186" s="7" t="str">
        <x:v>future</x:v>
      </x:c>
      <x:c r="F1186" s="7" t="str">
        <x:v>2026-10-03</x:v>
      </x:c>
      <x:c r="G1186" s="7" t="str">
        <x:v>2026-12-12</x:v>
      </x:c>
      <x:c r="H1186" s="7" t="n">
        <x:v>11</x:v>
      </x:c>
      <x:c r="I1186" s="7"/>
      <x:c r="J1186" s="7" t="n">
        <x:v>15</x:v>
      </x:c>
      <x:c r="K1186" s="7" t="str">
        <x:v>unverified-denominator</x:v>
      </x:c>
      <x:c r="L1186" s="7" t="d">
        <x:v>2026-09-16T05:12:38.111Z</x:v>
      </x:c>
      <x:c r="M1186" s="7" t="str">
        <x:v>https://apm.activecommunities.com/portlandparks/Activity_Search/tae-kwon-do---for-everybody/207873?locale=en-US</x:v>
      </x:c>
    </x:row>
    <x:row r="1187" ht="38" customHeight="1">
      <x:c r="A1187" s="8" t="str">
        <x:v>205104</x:v>
      </x:c>
      <x:c r="B1187" s="11" t="str">
        <x:v>Tae Kwon Do - For Everybody</x:v>
      </x:c>
      <x:c r="C1187" s="11" t="str">
        <x:v>St Johns Cmty Ctr</x:v>
      </x:c>
      <x:c r="D1187" s="11" t="str">
        <x:v>Sports - Martial Arts &amp; Self Defense</x:v>
      </x:c>
      <x:c r="E1187" s="8" t="str">
        <x:v>active</x:v>
      </x:c>
      <x:c r="F1187" s="8" t="str">
        <x:v>2026-09-01</x:v>
      </x:c>
      <x:c r="G1187" s="8" t="str">
        <x:v>2026-09-29</x:v>
      </x:c>
      <x:c r="H1187" s="8" t="n">
        <x:v>26</x:v>
      </x:c>
      <x:c r="I1187" s="8" t="n">
        <x:v>4</x:v>
      </x:c>
      <x:c r="J1187" s="8" t="n">
        <x:v>18</x:v>
      </x:c>
      <x:c r="K1187" s="8" t="str">
        <x:v>unverified-denominator</x:v>
      </x:c>
      <x:c r="L1187" s="8" t="d">
        <x:v>2026-09-16T05:12:38.111Z</x:v>
      </x:c>
      <x:c r="M1187" s="8" t="str">
        <x:v>https://apm.activecommunities.com/portlandparks/Activity_Search/tae-kwon-do---for-everybody/205104?locale=en-US</x:v>
      </x:c>
    </x:row>
    <x:row r="1188" ht="38" customHeight="1">
      <x:c r="A1188" s="7" t="str">
        <x:v>204549</x:v>
      </x:c>
      <x:c r="B1188" s="12" t="str">
        <x:v>Tae Kwon Do - For Everybody</x:v>
      </x:c>
      <x:c r="C1188" s="12" t="str">
        <x:v>East Portland Cmty Ctr</x:v>
      </x:c>
      <x:c r="D1188" s="12" t="str">
        <x:v>Sports - Martial Arts &amp; Self Defense</x:v>
      </x:c>
      <x:c r="E1188" s="7" t="str">
        <x:v>active</x:v>
      </x:c>
      <x:c r="F1188" s="7" t="str">
        <x:v>2026-09-04</x:v>
      </x:c>
      <x:c r="G1188" s="7" t="str">
        <x:v>2026-09-25</x:v>
      </x:c>
      <x:c r="H1188" s="7" t="n">
        <x:v>11</x:v>
      </x:c>
      <x:c r="I1188" s="7"/>
      <x:c r="J1188" s="7" t="n">
        <x:v>20</x:v>
      </x:c>
      <x:c r="K1188" s="7" t="str">
        <x:v>unverified-denominator</x:v>
      </x:c>
      <x:c r="L1188" s="7" t="d">
        <x:v>2026-09-16T05:12:38.111Z</x:v>
      </x:c>
      <x:c r="M1188" s="7" t="str">
        <x:v>https://apm.activecommunities.com/portlandparks/Activity_Search/tae-kwon-do---for-everybody/204549?locale=en-US</x:v>
      </x:c>
    </x:row>
    <x:row r="1189" ht="38" customHeight="1">
      <x:c r="A1189" s="8" t="str">
        <x:v>204550</x:v>
      </x:c>
      <x:c r="B1189" s="11" t="str">
        <x:v>Tae Kwon Do - For Everybody</x:v>
      </x:c>
      <x:c r="C1189" s="11" t="str">
        <x:v>East Portland Cmty Ctr</x:v>
      </x:c>
      <x:c r="D1189" s="11" t="str">
        <x:v>Sports - Martial Arts &amp; Self Defense</x:v>
      </x:c>
      <x:c r="E1189" s="8" t="str">
        <x:v>active</x:v>
      </x:c>
      <x:c r="F1189" s="8" t="str">
        <x:v>2026-09-04</x:v>
      </x:c>
      <x:c r="G1189" s="8" t="str">
        <x:v>2026-09-25</x:v>
      </x:c>
      <x:c r="H1189" s="8" t="n">
        <x:v>0</x:v>
      </x:c>
      <x:c r="I1189" s="8"/>
      <x:c r="J1189" s="8" t="n">
        <x:v>20</x:v>
      </x:c>
      <x:c r="K1189" s="8" t="str">
        <x:v>unverified-denominator</x:v>
      </x:c>
      <x:c r="L1189" s="8" t="d">
        <x:v>2026-09-16T05:12:38.111Z</x:v>
      </x:c>
      <x:c r="M1189" s="8" t="str">
        <x:v>https://apm.activecommunities.com/portlandparks/Activity_Search/tae-kwon-do---for-everybody/204550?locale=en-US</x:v>
      </x:c>
    </x:row>
    <x:row r="1190" ht="38" customHeight="1">
      <x:c r="A1190" s="7" t="str">
        <x:v>208705</x:v>
      </x:c>
      <x:c r="B1190" s="12" t="str">
        <x:v>Tae Kwon Do - For Everyone</x:v>
      </x:c>
      <x:c r="C1190" s="12" t="str">
        <x:v>Matt Dishman Cmty Ctr</x:v>
      </x:c>
      <x:c r="D1190" s="12" t="str">
        <x:v>Sports - Martial Arts &amp; Self Defense</x:v>
      </x:c>
      <x:c r="E1190" s="7" t="str">
        <x:v>future</x:v>
      </x:c>
      <x:c r="F1190" s="7" t="str">
        <x:v>2026-09-28</x:v>
      </x:c>
      <x:c r="G1190" s="7" t="str">
        <x:v>2026-12-10</x:v>
      </x:c>
      <x:c r="H1190" s="7" t="n">
        <x:v>2</x:v>
      </x:c>
      <x:c r="I1190" s="7"/>
      <x:c r="J1190" s="7" t="n">
        <x:v>20</x:v>
      </x:c>
      <x:c r="K1190" s="7" t="str">
        <x:v>unverified-denominator</x:v>
      </x:c>
      <x:c r="L1190" s="7" t="d">
        <x:v>2026-09-16T05:12:38.111Z</x:v>
      </x:c>
      <x:c r="M1190" s="7" t="str">
        <x:v>https://apm.activecommunities.com/portlandparks/Activity_Search/tae-kwon-do---for-everyone/208705?locale=en-US</x:v>
      </x:c>
    </x:row>
    <x:row r="1191" ht="38" customHeight="1">
      <x:c r="A1191" s="8" t="str">
        <x:v>198606</x:v>
      </x:c>
      <x:c r="B1191" s="11" t="str">
        <x:v>Tae Kwon Do - For Tots</x:v>
      </x:c>
      <x:c r="C1191" s="11" t="str">
        <x:v>Montavilla Cmty Ctr</x:v>
      </x:c>
      <x:c r="D1191" s="11" t="str">
        <x:v>Sports - Martial Arts &amp; Self Defense</x:v>
      </x:c>
      <x:c r="E1191" s="8" t="str">
        <x:v>active</x:v>
      </x:c>
      <x:c r="F1191" s="8" t="str">
        <x:v>2026-09-05</x:v>
      </x:c>
      <x:c r="G1191" s="8" t="str">
        <x:v>2026-09-26</x:v>
      </x:c>
      <x:c r="H1191" s="8" t="n">
        <x:v>9</x:v>
      </x:c>
      <x:c r="I1191" s="8" t="n">
        <x:v>15</x:v>
      </x:c>
      <x:c r="J1191" s="8" t="n">
        <x:v>12</x:v>
      </x:c>
      <x:c r="K1191" s="8" t="str">
        <x:v>unverified-denominator</x:v>
      </x:c>
      <x:c r="L1191" s="8" t="d">
        <x:v>2026-09-16T05:12:38.111Z</x:v>
      </x:c>
      <x:c r="M1191" s="8" t="str">
        <x:v>https://apm.activecommunities.com/portlandparks/Activity_Search/tae-kwon-do---for-tots/198606?locale=en-US</x:v>
      </x:c>
    </x:row>
    <x:row r="1192" ht="38" customHeight="1">
      <x:c r="A1192" s="7" t="str">
        <x:v>207871</x:v>
      </x:c>
      <x:c r="B1192" s="12" t="str">
        <x:v>Tae Kwon Do - For Tots</x:v>
      </x:c>
      <x:c r="C1192" s="12" t="str">
        <x:v>Montavilla Cmty Ctr</x:v>
      </x:c>
      <x:c r="D1192" s="12" t="str">
        <x:v>Sports - Martial Arts &amp; Self Defense</x:v>
      </x:c>
      <x:c r="E1192" s="7" t="str">
        <x:v>future</x:v>
      </x:c>
      <x:c r="F1192" s="7" t="str">
        <x:v>2026-10-03</x:v>
      </x:c>
      <x:c r="G1192" s="7" t="str">
        <x:v>2026-12-12</x:v>
      </x:c>
      <x:c r="H1192" s="7" t="n">
        <x:v>12</x:v>
      </x:c>
      <x:c r="I1192" s="7" t="n">
        <x:v>7</x:v>
      </x:c>
      <x:c r="J1192" s="7" t="n">
        <x:v>12</x:v>
      </x:c>
      <x:c r="K1192" s="7" t="str">
        <x:v>unverified-denominator</x:v>
      </x:c>
      <x:c r="L1192" s="7" t="d">
        <x:v>2026-09-16T05:12:38.111Z</x:v>
      </x:c>
      <x:c r="M1192" s="7" t="str">
        <x:v>https://apm.activecommunities.com/portlandparks/Activity_Search/tae-kwon-do---for-tots/207871?locale=en-US</x:v>
      </x:c>
    </x:row>
    <x:row r="1193" ht="38" customHeight="1">
      <x:c r="A1193" s="8" t="str">
        <x:v>207869</x:v>
      </x:c>
      <x:c r="B1193" s="11" t="str">
        <x:v>Tae Kwon Do - Intermediate</x:v>
      </x:c>
      <x:c r="C1193" s="11" t="str">
        <x:v>Montavilla Cmty Ctr</x:v>
      </x:c>
      <x:c r="D1193" s="11" t="str">
        <x:v>Sports - Martial Arts &amp; Self Defense</x:v>
      </x:c>
      <x:c r="E1193" s="8" t="str">
        <x:v>future</x:v>
      </x:c>
      <x:c r="F1193" s="8" t="str">
        <x:v>2026-10-03</x:v>
      </x:c>
      <x:c r="G1193" s="8" t="str">
        <x:v>2026-12-12</x:v>
      </x:c>
      <x:c r="H1193" s="8" t="n">
        <x:v>2</x:v>
      </x:c>
      <x:c r="I1193" s="8"/>
      <x:c r="J1193" s="8" t="n">
        <x:v>30</x:v>
      </x:c>
      <x:c r="K1193" s="8" t="str">
        <x:v>unverified-denominator</x:v>
      </x:c>
      <x:c r="L1193" s="8" t="d">
        <x:v>2026-09-16T05:12:38.111Z</x:v>
      </x:c>
      <x:c r="M1193" s="8" t="str">
        <x:v>https://apm.activecommunities.com/portlandparks/Activity_Search/tae-kwon-do---intermediate/207869?locale=en-US</x:v>
      </x:c>
    </x:row>
    <x:row r="1194" ht="38" customHeight="1">
      <x:c r="A1194" s="7" t="str">
        <x:v>207829</x:v>
      </x:c>
      <x:c r="B1194" s="12" t="str">
        <x:v>Tae Kwon Do - Intermediate</x:v>
      </x:c>
      <x:c r="C1194" s="12" t="str">
        <x:v>East Portland Cmty Ctr</x:v>
      </x:c>
      <x:c r="D1194" s="12" t="str">
        <x:v>Sports - Martial Arts &amp; Self Defense</x:v>
      </x:c>
      <x:c r="E1194" s="7" t="str">
        <x:v>future</x:v>
      </x:c>
      <x:c r="F1194" s="7" t="str">
        <x:v>2026-09-30</x:v>
      </x:c>
      <x:c r="G1194" s="7" t="str">
        <x:v>2026-12-30</x:v>
      </x:c>
      <x:c r="H1194" s="7" t="n">
        <x:v>1</x:v>
      </x:c>
      <x:c r="I1194" s="7"/>
      <x:c r="J1194" s="7" t="n">
        <x:v>20</x:v>
      </x:c>
      <x:c r="K1194" s="7" t="str">
        <x:v>unverified-denominator</x:v>
      </x:c>
      <x:c r="L1194" s="7" t="d">
        <x:v>2026-09-16T05:12:38.111Z</x:v>
      </x:c>
      <x:c r="M1194" s="7" t="str">
        <x:v>https://apm.activecommunities.com/portlandparks/Activity_Search/tae-kwon-do---intermediate/207829?locale=en-US</x:v>
      </x:c>
    </x:row>
    <x:row r="1195" ht="38" customHeight="1">
      <x:c r="A1195" s="8" t="str">
        <x:v>207830</x:v>
      </x:c>
      <x:c r="B1195" s="11" t="str">
        <x:v>Tae Kwon Do - Intermediate</x:v>
      </x:c>
      <x:c r="C1195" s="11" t="str">
        <x:v>East Portland Cmty Ctr</x:v>
      </x:c>
      <x:c r="D1195" s="11" t="str">
        <x:v>Sports - Martial Arts &amp; Self Defense</x:v>
      </x:c>
      <x:c r="E1195" s="8" t="str">
        <x:v>future</x:v>
      </x:c>
      <x:c r="F1195" s="8" t="str">
        <x:v>2026-09-30</x:v>
      </x:c>
      <x:c r="G1195" s="8" t="str">
        <x:v>2026-12-30</x:v>
      </x:c>
      <x:c r="H1195" s="8" t="n">
        <x:v>0</x:v>
      </x:c>
      <x:c r="I1195" s="8"/>
      <x:c r="J1195" s="8" t="n">
        <x:v>20</x:v>
      </x:c>
      <x:c r="K1195" s="8" t="str">
        <x:v>unverified-denominator</x:v>
      </x:c>
      <x:c r="L1195" s="8" t="d">
        <x:v>2026-09-16T05:12:38.111Z</x:v>
      </x:c>
      <x:c r="M1195" s="8" t="str">
        <x:v>https://apm.activecommunities.com/portlandparks/Activity_Search/tae-kwon-do---intermediate/207830?locale=en-US</x:v>
      </x:c>
    </x:row>
    <x:row r="1196" ht="38" customHeight="1">
      <x:c r="A1196" s="7" t="str">
        <x:v>204551</x:v>
      </x:c>
      <x:c r="B1196" s="12" t="str">
        <x:v>Tae Kwon Do - Intermediate</x:v>
      </x:c>
      <x:c r="C1196" s="12" t="str">
        <x:v>East Portland Cmty Ctr</x:v>
      </x:c>
      <x:c r="D1196" s="12" t="str">
        <x:v>Sports - Martial Arts &amp; Self Defense</x:v>
      </x:c>
      <x:c r="E1196" s="7" t="str">
        <x:v>active</x:v>
      </x:c>
      <x:c r="F1196" s="7" t="str">
        <x:v>2026-09-02</x:v>
      </x:c>
      <x:c r="G1196" s="7" t="str">
        <x:v>2026-09-23</x:v>
      </x:c>
      <x:c r="H1196" s="7" t="n">
        <x:v>12</x:v>
      </x:c>
      <x:c r="I1196" s="7"/>
      <x:c r="J1196" s="7" t="n">
        <x:v>40</x:v>
      </x:c>
      <x:c r="K1196" s="7" t="str">
        <x:v>unverified-denominator</x:v>
      </x:c>
      <x:c r="L1196" s="7" t="d">
        <x:v>2026-09-16T05:12:38.111Z</x:v>
      </x:c>
      <x:c r="M1196" s="7" t="str">
        <x:v>https://apm.activecommunities.com/portlandparks/Activity_Search/tae-kwon-do---intermediate/204551?locale=en-US</x:v>
      </x:c>
    </x:row>
    <x:row r="1197" ht="38" customHeight="1">
      <x:c r="A1197" s="8" t="str">
        <x:v>204552</x:v>
      </x:c>
      <x:c r="B1197" s="11" t="str">
        <x:v>Tae Kwon Do - Intermediate</x:v>
      </x:c>
      <x:c r="C1197" s="11" t="str">
        <x:v>East Portland Cmty Ctr</x:v>
      </x:c>
      <x:c r="D1197" s="11" t="str">
        <x:v>Sports - Martial Arts &amp; Self Defense</x:v>
      </x:c>
      <x:c r="E1197" s="8" t="str">
        <x:v>active</x:v>
      </x:c>
      <x:c r="F1197" s="8" t="str">
        <x:v>2026-09-02</x:v>
      </x:c>
      <x:c r="G1197" s="8" t="str">
        <x:v>2026-09-23</x:v>
      </x:c>
      <x:c r="H1197" s="8" t="n">
        <x:v>5</x:v>
      </x:c>
      <x:c r="I1197" s="8"/>
      <x:c r="J1197" s="8" t="n">
        <x:v>40</x:v>
      </x:c>
      <x:c r="K1197" s="8" t="str">
        <x:v>unverified-denominator</x:v>
      </x:c>
      <x:c r="L1197" s="8" t="d">
        <x:v>2026-09-16T05:12:38.111Z</x:v>
      </x:c>
      <x:c r="M1197" s="8" t="str">
        <x:v>https://apm.activecommunities.com/portlandparks/Activity_Search/tae-kwon-do---intermediate/204552?locale=en-US</x:v>
      </x:c>
    </x:row>
    <x:row r="1198" ht="38" customHeight="1">
      <x:c r="A1198" s="7" t="str">
        <x:v>198604</x:v>
      </x:c>
      <x:c r="B1198" s="12" t="str">
        <x:v>Tae Kwon Do - Intermediate</x:v>
      </x:c>
      <x:c r="C1198" s="12" t="str">
        <x:v>Montavilla Cmty Ctr</x:v>
      </x:c>
      <x:c r="D1198" s="12" t="str">
        <x:v>Sports - Martial Arts &amp; Self Defense</x:v>
      </x:c>
      <x:c r="E1198" s="7" t="str">
        <x:v>active</x:v>
      </x:c>
      <x:c r="F1198" s="7" t="str">
        <x:v>2026-09-05</x:v>
      </x:c>
      <x:c r="G1198" s="7" t="str">
        <x:v>2026-09-26</x:v>
      </x:c>
      <x:c r="H1198" s="7" t="n">
        <x:v>6</x:v>
      </x:c>
      <x:c r="I1198" s="7"/>
      <x:c r="J1198" s="7" t="n">
        <x:v>30</x:v>
      </x:c>
      <x:c r="K1198" s="7" t="str">
        <x:v>unverified-denominator</x:v>
      </x:c>
      <x:c r="L1198" s="7" t="d">
        <x:v>2026-09-16T05:12:38.111Z</x:v>
      </x:c>
      <x:c r="M1198" s="7" t="str">
        <x:v>https://apm.activecommunities.com/portlandparks/Activity_Search/tae-kwon-do---intermediate/198604?locale=en-US</x:v>
      </x:c>
    </x:row>
    <x:row r="1199" ht="38" customHeight="1">
      <x:c r="A1199" s="8" t="str">
        <x:v>198605</x:v>
      </x:c>
      <x:c r="B1199" s="11" t="str">
        <x:v>Tae Kwon Do - More Advanced</x:v>
      </x:c>
      <x:c r="C1199" s="11" t="str">
        <x:v>Montavilla Cmty Ctr</x:v>
      </x:c>
      <x:c r="D1199" s="11" t="str">
        <x:v>Sports - Martial Arts &amp; Self Defense</x:v>
      </x:c>
      <x:c r="E1199" s="8" t="str">
        <x:v>active</x:v>
      </x:c>
      <x:c r="F1199" s="8" t="str">
        <x:v>2026-09-05</x:v>
      </x:c>
      <x:c r="G1199" s="8" t="str">
        <x:v>2026-09-26</x:v>
      </x:c>
      <x:c r="H1199" s="8" t="n">
        <x:v>8</x:v>
      </x:c>
      <x:c r="I1199" s="8"/>
      <x:c r="J1199" s="8" t="n">
        <x:v>20</x:v>
      </x:c>
      <x:c r="K1199" s="8" t="str">
        <x:v>unverified-denominator</x:v>
      </x:c>
      <x:c r="L1199" s="8" t="d">
        <x:v>2026-09-16T05:12:38.111Z</x:v>
      </x:c>
      <x:c r="M1199" s="8" t="str">
        <x:v>https://apm.activecommunities.com/portlandparks/Activity_Search/tae-kwon-do---more-advanced/198605?locale=en-US</x:v>
      </x:c>
    </x:row>
    <x:row r="1200" ht="38" customHeight="1">
      <x:c r="A1200" s="7" t="str">
        <x:v>207870</x:v>
      </x:c>
      <x:c r="B1200" s="12" t="str">
        <x:v>Tae Kwon Do - More Advanced</x:v>
      </x:c>
      <x:c r="C1200" s="12" t="str">
        <x:v>Montavilla Cmty Ctr</x:v>
      </x:c>
      <x:c r="D1200" s="12" t="str">
        <x:v>Sports - Martial Arts &amp; Self Defense</x:v>
      </x:c>
      <x:c r="E1200" s="7" t="str">
        <x:v>future</x:v>
      </x:c>
      <x:c r="F1200" s="7" t="str">
        <x:v>2026-10-03</x:v>
      </x:c>
      <x:c r="G1200" s="7" t="str">
        <x:v>2026-12-12</x:v>
      </x:c>
      <x:c r="H1200" s="7" t="n">
        <x:v>2</x:v>
      </x:c>
      <x:c r="I1200" s="7"/>
      <x:c r="J1200" s="7" t="n">
        <x:v>20</x:v>
      </x:c>
      <x:c r="K1200" s="7" t="str">
        <x:v>unverified-denominator</x:v>
      </x:c>
      <x:c r="L1200" s="7" t="d">
        <x:v>2026-09-16T05:12:38.111Z</x:v>
      </x:c>
      <x:c r="M1200" s="7" t="str">
        <x:v>https://apm.activecommunities.com/portlandparks/Activity_Search/tae-kwon-do---more-advanced/207870?locale=en-US</x:v>
      </x:c>
    </x:row>
    <x:row r="1201" ht="38" customHeight="1">
      <x:c r="A1201" s="8" t="str">
        <x:v>207872</x:v>
      </x:c>
      <x:c r="B1201" s="11" t="str">
        <x:v>Tae Kwon Do - Next Steps</x:v>
      </x:c>
      <x:c r="C1201" s="11" t="str">
        <x:v>Montavilla Cmty Ctr</x:v>
      </x:c>
      <x:c r="D1201" s="11" t="str">
        <x:v>Sports - Martial Arts &amp; Self Defense</x:v>
      </x:c>
      <x:c r="E1201" s="8" t="str">
        <x:v>future</x:v>
      </x:c>
      <x:c r="F1201" s="8" t="str">
        <x:v>2026-10-03</x:v>
      </x:c>
      <x:c r="G1201" s="8" t="str">
        <x:v>2026-12-12</x:v>
      </x:c>
      <x:c r="H1201" s="8" t="n">
        <x:v>9</x:v>
      </x:c>
      <x:c r="I1201" s="8"/>
      <x:c r="J1201" s="8" t="n">
        <x:v>12</x:v>
      </x:c>
      <x:c r="K1201" s="8" t="str">
        <x:v>unverified-denominator</x:v>
      </x:c>
      <x:c r="L1201" s="8" t="d">
        <x:v>2026-09-16T05:12:38.111Z</x:v>
      </x:c>
      <x:c r="M1201" s="8" t="str">
        <x:v>https://apm.activecommunities.com/portlandparks/Activity_Search/tae-kwon-do---next-steps/207872?locale=en-US</x:v>
      </x:c>
    </x:row>
    <x:row r="1202" ht="38" customHeight="1">
      <x:c r="A1202" s="7" t="str">
        <x:v>198607</x:v>
      </x:c>
      <x:c r="B1202" s="12" t="str">
        <x:v>Tae Kwon Do - Next Steps</x:v>
      </x:c>
      <x:c r="C1202" s="12" t="str">
        <x:v>Montavilla Cmty Ctr</x:v>
      </x:c>
      <x:c r="D1202" s="12" t="str">
        <x:v>Sports - Martial Arts &amp; Self Defense</x:v>
      </x:c>
      <x:c r="E1202" s="7" t="str">
        <x:v>active</x:v>
      </x:c>
      <x:c r="F1202" s="7" t="str">
        <x:v>2026-09-05</x:v>
      </x:c>
      <x:c r="G1202" s="7" t="str">
        <x:v>2026-09-26</x:v>
      </x:c>
      <x:c r="H1202" s="7" t="n">
        <x:v>10</x:v>
      </x:c>
      <x:c r="I1202" s="7" t="n">
        <x:v>2</x:v>
      </x:c>
      <x:c r="J1202" s="7" t="n">
        <x:v>12</x:v>
      </x:c>
      <x:c r="K1202" s="7" t="str">
        <x:v>unverified-denominator</x:v>
      </x:c>
      <x:c r="L1202" s="7" t="d">
        <x:v>2026-09-16T05:12:38.111Z</x:v>
      </x:c>
      <x:c r="M1202" s="7" t="str">
        <x:v>https://apm.activecommunities.com/portlandparks/Activity_Search/tae-kwon-do---next-steps/198607?locale=en-US</x:v>
      </x:c>
    </x:row>
    <x:row r="1203" ht="38" customHeight="1">
      <x:c r="A1203" s="8" t="str">
        <x:v>198431</x:v>
      </x:c>
      <x:c r="B1203" s="11" t="str">
        <x:v>Tae Kwon Do - Traditional</x:v>
      </x:c>
      <x:c r="C1203" s="11" t="str">
        <x:v>Southwest Cmty Ctr</x:v>
      </x:c>
      <x:c r="D1203" s="11" t="str">
        <x:v>Sports - Martial Arts &amp; Self Defense</x:v>
      </x:c>
      <x:c r="E1203" s="8" t="str">
        <x:v>active</x:v>
      </x:c>
      <x:c r="F1203" s="8" t="str">
        <x:v>2026-09-01</x:v>
      </x:c>
      <x:c r="G1203" s="8" t="str">
        <x:v>2026-09-29</x:v>
      </x:c>
      <x:c r="H1203" s="8" t="n">
        <x:v>61</x:v>
      </x:c>
      <x:c r="I1203" s="8" t="n">
        <x:v>2</x:v>
      </x:c>
      <x:c r="J1203" s="8" t="n">
        <x:v>55</x:v>
      </x:c>
      <x:c r="K1203" s="8" t="str">
        <x:v>unverified-denominator</x:v>
      </x:c>
      <x:c r="L1203" s="8" t="d">
        <x:v>2026-09-16T05:12:38.111Z</x:v>
      </x:c>
      <x:c r="M1203" s="8" t="str">
        <x:v>https://apm.activecommunities.com/portlandparks/Activity_Search/tae-kwon-do---traditional/198431?locale=en-US</x:v>
      </x:c>
    </x:row>
    <x:row r="1204" ht="38" customHeight="1">
      <x:c r="A1204" s="7" t="str">
        <x:v>207831</x:v>
      </x:c>
      <x:c r="B1204" s="12" t="str">
        <x:v>Tae Kwon Do - Traditional</x:v>
      </x:c>
      <x:c r="C1204" s="12" t="str">
        <x:v>East Portland Cmty Ctr</x:v>
      </x:c>
      <x:c r="D1204" s="12" t="str">
        <x:v>Sports - Martial Arts &amp; Self Defense</x:v>
      </x:c>
      <x:c r="E1204" s="7" t="str">
        <x:v>future</x:v>
      </x:c>
      <x:c r="F1204" s="7" t="str">
        <x:v>2026-09-28</x:v>
      </x:c>
      <x:c r="G1204" s="7" t="str">
        <x:v>2026-12-21</x:v>
      </x:c>
      <x:c r="H1204" s="7" t="n">
        <x:v>0</x:v>
      </x:c>
      <x:c r="I1204" s="7"/>
      <x:c r="J1204" s="7" t="n">
        <x:v>20</x:v>
      </x:c>
      <x:c r="K1204" s="7" t="str">
        <x:v>unverified-denominator</x:v>
      </x:c>
      <x:c r="L1204" s="7" t="d">
        <x:v>2026-09-16T05:12:38.111Z</x:v>
      </x:c>
      <x:c r="M1204" s="7" t="str">
        <x:v>https://apm.activecommunities.com/portlandparks/Activity_Search/tae-kwon-do---traditional/207831?locale=en-US</x:v>
      </x:c>
    </x:row>
    <x:row r="1205" ht="38" customHeight="1">
      <x:c r="A1205" s="8" t="str">
        <x:v>208666</x:v>
      </x:c>
      <x:c r="B1205" s="11" t="str">
        <x:v>Tae Kwon Do - Traditional</x:v>
      </x:c>
      <x:c r="C1205" s="11" t="str">
        <x:v>Mt Scott Cmty Ctr</x:v>
      </x:c>
      <x:c r="D1205" s="11" t="str">
        <x:v>Sports - Martial Arts &amp; Self Defense</x:v>
      </x:c>
      <x:c r="E1205" s="8" t="str">
        <x:v>future</x:v>
      </x:c>
      <x:c r="F1205" s="8" t="str">
        <x:v>2026-10-12</x:v>
      </x:c>
      <x:c r="G1205" s="8" t="str">
        <x:v>2026-10-28</x:v>
      </x:c>
      <x:c r="H1205" s="8" t="n">
        <x:v>5</x:v>
      </x:c>
      <x:c r="I1205" s="8"/>
      <x:c r="J1205" s="8" t="n">
        <x:v>30</x:v>
      </x:c>
      <x:c r="K1205" s="8" t="str">
        <x:v>unverified-denominator</x:v>
      </x:c>
      <x:c r="L1205" s="8" t="d">
        <x:v>2026-09-16T05:12:38.111Z</x:v>
      </x:c>
      <x:c r="M1205" s="8" t="str">
        <x:v>https://apm.activecommunities.com/portlandparks/Activity_Search/tae-kwon-do---traditional/208666?locale=en-US</x:v>
      </x:c>
    </x:row>
    <x:row r="1206" ht="38" customHeight="1">
      <x:c r="A1206" s="7" t="str">
        <x:v>208667</x:v>
      </x:c>
      <x:c r="B1206" s="12" t="str">
        <x:v>Tae Kwon Do - Traditional</x:v>
      </x:c>
      <x:c r="C1206" s="12" t="str">
        <x:v>Mt Scott Cmty Ctr</x:v>
      </x:c>
      <x:c r="D1206" s="12" t="str">
        <x:v>Sports - Martial Arts &amp; Self Defense</x:v>
      </x:c>
      <x:c r="E1206" s="7" t="str">
        <x:v>future</x:v>
      </x:c>
      <x:c r="F1206" s="7" t="str">
        <x:v>2026-11-02</x:v>
      </x:c>
      <x:c r="G1206" s="7" t="str">
        <x:v>2026-11-30</x:v>
      </x:c>
      <x:c r="H1206" s="7" t="n">
        <x:v>0</x:v>
      </x:c>
      <x:c r="I1206" s="7"/>
      <x:c r="J1206" s="7" t="n">
        <x:v>30</x:v>
      </x:c>
      <x:c r="K1206" s="7" t="str">
        <x:v>unverified-denominator</x:v>
      </x:c>
      <x:c r="L1206" s="7" t="d">
        <x:v>2026-09-16T05:12:38.111Z</x:v>
      </x:c>
      <x:c r="M1206" s="7" t="str">
        <x:v>https://apm.activecommunities.com/portlandparks/Activity_Search/tae-kwon-do---traditional/208667?locale=en-US</x:v>
      </x:c>
    </x:row>
    <x:row r="1207" ht="38" customHeight="1">
      <x:c r="A1207" s="8" t="str">
        <x:v>208668</x:v>
      </x:c>
      <x:c r="B1207" s="11" t="str">
        <x:v>Tae Kwon Do - Traditional</x:v>
      </x:c>
      <x:c r="C1207" s="11" t="str">
        <x:v>Mt Scott Cmty Ctr</x:v>
      </x:c>
      <x:c r="D1207" s="11" t="str">
        <x:v>Sports - Martial Arts &amp; Self Defense</x:v>
      </x:c>
      <x:c r="E1207" s="8" t="str">
        <x:v>future</x:v>
      </x:c>
      <x:c r="F1207" s="8" t="str">
        <x:v>2026-12-02</x:v>
      </x:c>
      <x:c r="G1207" s="8" t="str">
        <x:v>2026-12-30</x:v>
      </x:c>
      <x:c r="H1207" s="8" t="n">
        <x:v>0</x:v>
      </x:c>
      <x:c r="I1207" s="8"/>
      <x:c r="J1207" s="8" t="n">
        <x:v>30</x:v>
      </x:c>
      <x:c r="K1207" s="8" t="str">
        <x:v>unverified-denominator</x:v>
      </x:c>
      <x:c r="L1207" s="8" t="d">
        <x:v>2026-09-16T05:12:38.111Z</x:v>
      </x:c>
      <x:c r="M1207" s="8" t="str">
        <x:v>https://apm.activecommunities.com/portlandparks/Activity_Search/tae-kwon-do---traditional/208668?locale=en-US</x:v>
      </x:c>
    </x:row>
    <x:row r="1208" ht="38" customHeight="1">
      <x:c r="A1208" s="7" t="str">
        <x:v>208591</x:v>
      </x:c>
      <x:c r="B1208" s="12" t="str">
        <x:v>Tae Kwon Do - Traditional</x:v>
      </x:c>
      <x:c r="C1208" s="12" t="str">
        <x:v>Southwest Cmty Ctr</x:v>
      </x:c>
      <x:c r="D1208" s="12" t="str">
        <x:v>Sports - Martial Arts &amp; Self Defense</x:v>
      </x:c>
      <x:c r="E1208" s="7" t="str">
        <x:v>future</x:v>
      </x:c>
      <x:c r="F1208" s="7" t="str">
        <x:v>2026-10-01</x:v>
      </x:c>
      <x:c r="G1208" s="7" t="str">
        <x:v>2026-10-29</x:v>
      </x:c>
      <x:c r="H1208" s="7" t="n">
        <x:v>41</x:v>
      </x:c>
      <x:c r="I1208" s="7"/>
      <x:c r="J1208" s="7" t="n">
        <x:v>55</x:v>
      </x:c>
      <x:c r="K1208" s="7" t="str">
        <x:v>unverified-denominator</x:v>
      </x:c>
      <x:c r="L1208" s="7" t="d">
        <x:v>2026-09-16T05:12:38.111Z</x:v>
      </x:c>
      <x:c r="M1208" s="7" t="str">
        <x:v>https://apm.activecommunities.com/portlandparks/Activity_Search/tae-kwon-do---traditional/208591?locale=en-US</x:v>
      </x:c>
    </x:row>
    <x:row r="1209" ht="38" customHeight="1">
      <x:c r="A1209" s="8" t="str">
        <x:v>208592</x:v>
      </x:c>
      <x:c r="B1209" s="11" t="str">
        <x:v>Tae Kwon Do - Traditional</x:v>
      </x:c>
      <x:c r="C1209" s="11" t="str">
        <x:v>Southwest Cmty Ctr</x:v>
      </x:c>
      <x:c r="D1209" s="11" t="str">
        <x:v>Sports - Martial Arts &amp; Self Defense</x:v>
      </x:c>
      <x:c r="E1209" s="8" t="str">
        <x:v>future</x:v>
      </x:c>
      <x:c r="F1209" s="8" t="str">
        <x:v>2026-11-03</x:v>
      </x:c>
      <x:c r="G1209" s="8" t="str">
        <x:v>2026-11-24</x:v>
      </x:c>
      <x:c r="H1209" s="8" t="n">
        <x:v>38</x:v>
      </x:c>
      <x:c r="I1209" s="8"/>
      <x:c r="J1209" s="8" t="n">
        <x:v>55</x:v>
      </x:c>
      <x:c r="K1209" s="8" t="str">
        <x:v>unverified-denominator</x:v>
      </x:c>
      <x:c r="L1209" s="8" t="d">
        <x:v>2026-09-16T05:12:38.111Z</x:v>
      </x:c>
      <x:c r="M1209" s="8" t="str">
        <x:v>https://apm.activecommunities.com/portlandparks/Activity_Search/tae-kwon-do---traditional/208592?locale=en-US</x:v>
      </x:c>
    </x:row>
    <x:row r="1210" ht="38" customHeight="1">
      <x:c r="A1210" s="7" t="str">
        <x:v>208593</x:v>
      </x:c>
      <x:c r="B1210" s="12" t="str">
        <x:v>Tae Kwon Do - Traditional</x:v>
      </x:c>
      <x:c r="C1210" s="12" t="str">
        <x:v>Southwest Cmty Ctr</x:v>
      </x:c>
      <x:c r="D1210" s="12" t="str">
        <x:v>Sports - Martial Arts &amp; Self Defense</x:v>
      </x:c>
      <x:c r="E1210" s="7" t="str">
        <x:v>future</x:v>
      </x:c>
      <x:c r="F1210" s="7" t="str">
        <x:v>2026-12-01</x:v>
      </x:c>
      <x:c r="G1210" s="7" t="str">
        <x:v>2026-12-29</x:v>
      </x:c>
      <x:c r="H1210" s="7" t="n">
        <x:v>38</x:v>
      </x:c>
      <x:c r="I1210" s="7"/>
      <x:c r="J1210" s="7" t="n">
        <x:v>55</x:v>
      </x:c>
      <x:c r="K1210" s="7" t="str">
        <x:v>unverified-denominator</x:v>
      </x:c>
      <x:c r="L1210" s="7" t="d">
        <x:v>2026-09-16T05:12:38.111Z</x:v>
      </x:c>
      <x:c r="M1210" s="7" t="str">
        <x:v>https://apm.activecommunities.com/portlandparks/Activity_Search/tae-kwon-do---traditional/208593?locale=en-US</x:v>
      </x:c>
    </x:row>
    <x:row r="1211" ht="38" customHeight="1">
      <x:c r="A1211" s="8" t="str">
        <x:v>204553</x:v>
      </x:c>
      <x:c r="B1211" s="11" t="str">
        <x:v>Tae Kwon Do - Traditional</x:v>
      </x:c>
      <x:c r="C1211" s="11" t="str">
        <x:v>East Portland Cmty Ctr</x:v>
      </x:c>
      <x:c r="D1211" s="11" t="str">
        <x:v>Sports - Martial Arts &amp; Self Defense</x:v>
      </x:c>
      <x:c r="E1211" s="8" t="str">
        <x:v>active</x:v>
      </x:c>
      <x:c r="F1211" s="8" t="str">
        <x:v>2026-08-31</x:v>
      </x:c>
      <x:c r="G1211" s="8" t="str">
        <x:v>2026-09-24</x:v>
      </x:c>
      <x:c r="H1211" s="8" t="n">
        <x:v>16</x:v>
      </x:c>
      <x:c r="I1211" s="8"/>
      <x:c r="J1211" s="8" t="n">
        <x:v>20</x:v>
      </x:c>
      <x:c r="K1211" s="8" t="str">
        <x:v>unverified-denominator</x:v>
      </x:c>
      <x:c r="L1211" s="8" t="d">
        <x:v>2026-09-16T05:12:38.111Z</x:v>
      </x:c>
      <x:c r="M1211" s="8" t="str">
        <x:v>https://apm.activecommunities.com/portlandparks/Activity_Search/tae-kwon-do---traditional/204553?locale=en-US</x:v>
      </x:c>
    </x:row>
    <x:row r="1212" ht="38" customHeight="1">
      <x:c r="A1212" s="7" t="str">
        <x:v>204903</x:v>
      </x:c>
      <x:c r="B1212" s="12" t="str">
        <x:v>Tae Kwon Do - Traditional</x:v>
      </x:c>
      <x:c r="C1212" s="12" t="str">
        <x:v>Mt Scott Cmty Ctr</x:v>
      </x:c>
      <x:c r="D1212" s="12" t="str">
        <x:v>Sports - Martial Arts &amp; Self Defense</x:v>
      </x:c>
      <x:c r="E1212" s="7" t="str">
        <x:v>active</x:v>
      </x:c>
      <x:c r="F1212" s="7" t="str">
        <x:v>2026-09-02</x:v>
      </x:c>
      <x:c r="G1212" s="7" t="str">
        <x:v>2026-09-23</x:v>
      </x:c>
      <x:c r="H1212" s="7" t="n">
        <x:v>21</x:v>
      </x:c>
      <x:c r="I1212" s="7"/>
      <x:c r="J1212" s="7" t="n">
        <x:v>30</x:v>
      </x:c>
      <x:c r="K1212" s="7" t="str">
        <x:v>unverified-denominator</x:v>
      </x:c>
      <x:c r="L1212" s="7" t="d">
        <x:v>2026-09-16T05:12:38.111Z</x:v>
      </x:c>
      <x:c r="M1212" s="7" t="str">
        <x:v>https://apm.activecommunities.com/portlandparks/Activity_Search/tae-kwon-do---traditional/204903?locale=en-US</x:v>
      </x:c>
    </x:row>
    <x:row r="1213" ht="38" customHeight="1">
      <x:c r="A1213" s="8" t="str">
        <x:v>208090</x:v>
      </x:c>
      <x:c r="B1213" s="11" t="str">
        <x:v>Tap Dance - It's Never Too Late</x:v>
      </x:c>
      <x:c r="C1213" s="11" t="str">
        <x:v>Peninsula Park Cmty Ctr</x:v>
      </x:c>
      <x:c r="D1213" s="11" t="str">
        <x:v>Dance</x:v>
      </x:c>
      <x:c r="E1213" s="8" t="str">
        <x:v>future</x:v>
      </x:c>
      <x:c r="F1213" s="8" t="str">
        <x:v>2026-09-29</x:v>
      </x:c>
      <x:c r="G1213" s="8" t="str">
        <x:v>2026-10-27</x:v>
      </x:c>
      <x:c r="H1213" s="8" t="n">
        <x:v>9</x:v>
      </x:c>
      <x:c r="I1213" s="8"/>
      <x:c r="J1213" s="8" t="n">
        <x:v>10</x:v>
      </x:c>
      <x:c r="K1213" s="8" t="str">
        <x:v>unverified-denominator</x:v>
      </x:c>
      <x:c r="L1213" s="8" t="d">
        <x:v>2026-09-16T05:12:38.111Z</x:v>
      </x:c>
      <x:c r="M1213" s="8" t="str">
        <x:v>https://apm.activecommunities.com/portlandparks/Activity_Search/tap-dance---it-s-never-too-late/208090?locale=en-US</x:v>
      </x:c>
    </x:row>
    <x:row r="1214" ht="38" customHeight="1">
      <x:c r="A1214" s="7" t="str">
        <x:v>208091</x:v>
      </x:c>
      <x:c r="B1214" s="12" t="str">
        <x:v>Tap Dance - It's Never Too Late</x:v>
      </x:c>
      <x:c r="C1214" s="12" t="str">
        <x:v>Peninsula Park Cmty Ctr</x:v>
      </x:c>
      <x:c r="D1214" s="12" t="str">
        <x:v>Dance</x:v>
      </x:c>
      <x:c r="E1214" s="7" t="str">
        <x:v>future</x:v>
      </x:c>
      <x:c r="F1214" s="7" t="str">
        <x:v>2026-11-03</x:v>
      </x:c>
      <x:c r="G1214" s="7" t="str">
        <x:v>2026-12-01</x:v>
      </x:c>
      <x:c r="H1214" s="7" t="n">
        <x:v>0</x:v>
      </x:c>
      <x:c r="I1214" s="7"/>
      <x:c r="J1214" s="7" t="n">
        <x:v>20</x:v>
      </x:c>
      <x:c r="K1214" s="7" t="str">
        <x:v>unverified-denominator</x:v>
      </x:c>
      <x:c r="L1214" s="7" t="d">
        <x:v>2026-09-16T05:12:38.111Z</x:v>
      </x:c>
      <x:c r="M1214" s="7" t="str">
        <x:v>https://apm.activecommunities.com/portlandparks/Activity_Search/tap-dance---it-s-never-too-late/208091?locale=en-US</x:v>
      </x:c>
    </x:row>
    <x:row r="1215" ht="38" customHeight="1">
      <x:c r="A1215" s="8" t="str">
        <x:v>201949</x:v>
      </x:c>
      <x:c r="B1215" s="11" t="str">
        <x:v>Tap Dance - It's Never Too Late</x:v>
      </x:c>
      <x:c r="C1215" s="11" t="str">
        <x:v>Peninsula Park Cmty Ctr</x:v>
      </x:c>
      <x:c r="D1215" s="11" t="str">
        <x:v>Dance</x:v>
      </x:c>
      <x:c r="E1215" s="8" t="str">
        <x:v>active</x:v>
      </x:c>
      <x:c r="F1215" s="8" t="str">
        <x:v>2026-09-01</x:v>
      </x:c>
      <x:c r="G1215" s="8" t="str">
        <x:v>2026-09-22</x:v>
      </x:c>
      <x:c r="H1215" s="8" t="n">
        <x:v>16</x:v>
      </x:c>
      <x:c r="I1215" s="8"/>
      <x:c r="J1215" s="8" t="n">
        <x:v>20</x:v>
      </x:c>
      <x:c r="K1215" s="8" t="str">
        <x:v>unverified-denominator</x:v>
      </x:c>
      <x:c r="L1215" s="8" t="d">
        <x:v>2026-09-16T05:12:38.111Z</x:v>
      </x:c>
      <x:c r="M1215" s="8" t="str">
        <x:v>https://apm.activecommunities.com/portlandparks/Activity_Search/tap-dance---it-s-never-too-late/201949?locale=en-US</x:v>
      </x:c>
    </x:row>
    <x:row r="1216" ht="38" customHeight="1">
      <x:c r="A1216" s="7" t="str">
        <x:v>209014</x:v>
      </x:c>
      <x:c r="B1216" s="12" t="str">
        <x:v>TeenForce - 10/16 Skate Night</x:v>
      </x:c>
      <x:c r="C1216" s="12" t="str">
        <x:v>Roller Rink</x:v>
      </x:c>
      <x:c r="D1216" s="12" t="str">
        <x:v>Events</x:v>
      </x:c>
      <x:c r="E1216" s="7" t="str">
        <x:v>undated</x:v>
      </x:c>
      <x:c r="F1216" s="7" t="str">
        <x:v>2026-10-16</x:v>
      </x:c>
      <x:c r="G1216" s="7" t="str"/>
      <x:c r="H1216" s="7" t="n">
        <x:v>2</x:v>
      </x:c>
      <x:c r="I1216" s="7"/>
      <x:c r="J1216" s="7" t="n">
        <x:v>75</x:v>
      </x:c>
      <x:c r="K1216" s="7" t="str">
        <x:v>unverified-denominator</x:v>
      </x:c>
      <x:c r="L1216" s="7" t="d">
        <x:v>2026-09-16T05:12:38.111Z</x:v>
      </x:c>
      <x:c r="M1216" s="7" t="str">
        <x:v>https://apm.activecommunities.com/portlandparks/Activity_Search/teenforce---10-16-skate-night/209014?locale=en-US</x:v>
      </x:c>
    </x:row>
    <x:row r="1217" ht="38" customHeight="1">
      <x:c r="A1217" s="8" t="str">
        <x:v>209027</x:v>
      </x:c>
      <x:c r="B1217" s="11" t="str">
        <x:v>TeenForce - 11/13 Skate Night</x:v>
      </x:c>
      <x:c r="C1217" s="11" t="str">
        <x:v>Roller Rink</x:v>
      </x:c>
      <x:c r="D1217" s="11" t="str">
        <x:v>Events</x:v>
      </x:c>
      <x:c r="E1217" s="8" t="str">
        <x:v>undated</x:v>
      </x:c>
      <x:c r="F1217" s="8" t="str">
        <x:v>2026-11-13</x:v>
      </x:c>
      <x:c r="G1217" s="8" t="str"/>
      <x:c r="H1217" s="8" t="n">
        <x:v>0</x:v>
      </x:c>
      <x:c r="I1217" s="8"/>
      <x:c r="J1217" s="8" t="n">
        <x:v>75</x:v>
      </x:c>
      <x:c r="K1217" s="8" t="str">
        <x:v>unverified-denominator</x:v>
      </x:c>
      <x:c r="L1217" s="8" t="d">
        <x:v>2026-09-16T05:12:38.111Z</x:v>
      </x:c>
      <x:c r="M1217" s="8" t="str">
        <x:v>https://apm.activecommunities.com/portlandparks/Activity_Search/teenforce---11-13-skate-night/209027?locale=en-US</x:v>
      </x:c>
    </x:row>
    <x:row r="1218" ht="38" customHeight="1">
      <x:c r="A1218" s="7" t="str">
        <x:v>209018</x:v>
      </x:c>
      <x:c r="B1218" s="12" t="str">
        <x:v>TeenForce - 12/11 Skate Night</x:v>
      </x:c>
      <x:c r="C1218" s="12" t="str">
        <x:v>Roller Rink</x:v>
      </x:c>
      <x:c r="D1218" s="12" t="str">
        <x:v>Events</x:v>
      </x:c>
      <x:c r="E1218" s="7" t="str">
        <x:v>undated</x:v>
      </x:c>
      <x:c r="F1218" s="7" t="str">
        <x:v>2026-12-11</x:v>
      </x:c>
      <x:c r="G1218" s="7" t="str"/>
      <x:c r="H1218" s="7" t="n">
        <x:v>0</x:v>
      </x:c>
      <x:c r="I1218" s="7"/>
      <x:c r="J1218" s="7" t="n">
        <x:v>75</x:v>
      </x:c>
      <x:c r="K1218" s="7" t="str">
        <x:v>unverified-denominator</x:v>
      </x:c>
      <x:c r="L1218" s="7" t="d">
        <x:v>2026-09-16T05:12:38.111Z</x:v>
      </x:c>
      <x:c r="M1218" s="7" t="str">
        <x:v>https://apm.activecommunities.com/portlandparks/Activity_Search/teenforce---12-11-skate-night/209018?locale=en-US</x:v>
      </x:c>
    </x:row>
    <x:row r="1219" ht="38" customHeight="1">
      <x:c r="A1219" s="8" t="str">
        <x:v>208602</x:v>
      </x:c>
      <x:c r="B1219" s="11" t="str">
        <x:v>TeenForce - Art Expressions</x:v>
      </x:c>
      <x:c r="C1219" s="11" t="str">
        <x:v>Southwest Cmty Ctr</x:v>
      </x:c>
      <x:c r="D1219" s="11" t="str">
        <x:v>Arts &amp; Crafts - Variety</x:v>
      </x:c>
      <x:c r="E1219" s="8" t="str">
        <x:v>future</x:v>
      </x:c>
      <x:c r="F1219" s="8" t="str">
        <x:v>2026-10-02</x:v>
      </x:c>
      <x:c r="G1219" s="8" t="str">
        <x:v>2026-12-11</x:v>
      </x:c>
      <x:c r="H1219" s="8" t="n">
        <x:v>1</x:v>
      </x:c>
      <x:c r="I1219" s="8"/>
      <x:c r="J1219" s="8" t="n">
        <x:v>6</x:v>
      </x:c>
      <x:c r="K1219" s="8" t="str">
        <x:v>unverified-denominator</x:v>
      </x:c>
      <x:c r="L1219" s="8" t="d">
        <x:v>2026-09-16T05:12:38.111Z</x:v>
      </x:c>
      <x:c r="M1219" s="8" t="str">
        <x:v>https://apm.activecommunities.com/portlandparks/Activity_Search/teenforce---art-expressions/208602?locale=en-US</x:v>
      </x:c>
    </x:row>
    <x:row r="1220" ht="38" customHeight="1">
      <x:c r="A1220" s="7" t="str">
        <x:v>208522</x:v>
      </x:c>
      <x:c r="B1220" s="12" t="str">
        <x:v>TeenForce - Art Expressions</x:v>
      </x:c>
      <x:c r="C1220" s="12" t="str">
        <x:v>Montavilla Cmty Ctr</x:v>
      </x:c>
      <x:c r="D1220" s="12" t="str">
        <x:v>Arts &amp; Crafts - Variety</x:v>
      </x:c>
      <x:c r="E1220" s="7" t="str">
        <x:v>future</x:v>
      </x:c>
      <x:c r="F1220" s="7" t="str">
        <x:v>2026-10-02</x:v>
      </x:c>
      <x:c r="G1220" s="7" t="str">
        <x:v>2026-12-11</x:v>
      </x:c>
      <x:c r="H1220" s="7" t="n">
        <x:v>0</x:v>
      </x:c>
      <x:c r="I1220" s="7"/>
      <x:c r="J1220" s="7" t="n">
        <x:v>12</x:v>
      </x:c>
      <x:c r="K1220" s="7" t="str">
        <x:v>unverified-denominator</x:v>
      </x:c>
      <x:c r="L1220" s="7" t="d">
        <x:v>2026-09-16T05:12:38.111Z</x:v>
      </x:c>
      <x:c r="M1220" s="7" t="str">
        <x:v>https://apm.activecommunities.com/portlandparks/Activity_Search/teenforce---art-expressions/208522?locale=en-US</x:v>
      </x:c>
    </x:row>
    <x:row r="1221" ht="38" customHeight="1">
      <x:c r="A1221" s="8" t="str">
        <x:v>208511</x:v>
      </x:c>
      <x:c r="B1221" s="11" t="str">
        <x:v>TeenForce - Art Expressions</x:v>
      </x:c>
      <x:c r="C1221" s="11" t="str">
        <x:v>Matt Dishman Cmty Ctr</x:v>
      </x:c>
      <x:c r="D1221" s="11" t="str">
        <x:v>Arts &amp; Crafts - Variety</x:v>
      </x:c>
      <x:c r="E1221" s="8" t="str">
        <x:v>future</x:v>
      </x:c>
      <x:c r="F1221" s="8" t="str">
        <x:v>2026-09-28</x:v>
      </x:c>
      <x:c r="G1221" s="8" t="str">
        <x:v>2026-12-07</x:v>
      </x:c>
      <x:c r="H1221" s="8" t="n">
        <x:v>0</x:v>
      </x:c>
      <x:c r="I1221" s="8"/>
      <x:c r="J1221" s="8" t="n">
        <x:v>12</x:v>
      </x:c>
      <x:c r="K1221" s="8" t="str">
        <x:v>unverified-denominator</x:v>
      </x:c>
      <x:c r="L1221" s="8" t="d">
        <x:v>2026-09-16T05:12:38.111Z</x:v>
      </x:c>
      <x:c r="M1221" s="8" t="str">
        <x:v>https://apm.activecommunities.com/portlandparks/Activity_Search/teenforce---art-expressions/208511?locale=en-US</x:v>
      </x:c>
    </x:row>
    <x:row r="1222" ht="38" customHeight="1">
      <x:c r="A1222" s="7" t="str">
        <x:v>208453</x:v>
      </x:c>
      <x:c r="B1222" s="12" t="str">
        <x:v>TeenForce - Basketball: Skills &amp;  Drills</x:v>
      </x:c>
      <x:c r="C1222" s="12" t="str">
        <x:v>Charles Jordan Cmty Ctr</x:v>
      </x:c>
      <x:c r="D1222" s="12" t="str">
        <x:v>Sports - Basketball</x:v>
      </x:c>
      <x:c r="E1222" s="7" t="str">
        <x:v>future</x:v>
      </x:c>
      <x:c r="F1222" s="7" t="str">
        <x:v>2026-10-02</x:v>
      </x:c>
      <x:c r="G1222" s="7" t="str">
        <x:v>2026-12-11</x:v>
      </x:c>
      <x:c r="H1222" s="7" t="n">
        <x:v>0</x:v>
      </x:c>
      <x:c r="I1222" s="7"/>
      <x:c r="J1222" s="7" t="n">
        <x:v>12</x:v>
      </x:c>
      <x:c r="K1222" s="7" t="str">
        <x:v>unverified-denominator</x:v>
      </x:c>
      <x:c r="L1222" s="7" t="d">
        <x:v>2026-09-16T05:12:38.111Z</x:v>
      </x:c>
      <x:c r="M1222" s="7" t="str">
        <x:v>https://apm.activecommunities.com/portlandparks/Activity_Search/teenforce---basketball-skills-drills/208453?locale=en-US</x:v>
      </x:c>
    </x:row>
    <x:row r="1223" ht="38" customHeight="1">
      <x:c r="A1223" s="8" t="str">
        <x:v>208512</x:v>
      </x:c>
      <x:c r="B1223" s="11" t="str">
        <x:v>TeenForce - Boxing: Personal Power</x:v>
      </x:c>
      <x:c r="C1223" s="11" t="str">
        <x:v>Matt Dishman Cmty Ctr</x:v>
      </x:c>
      <x:c r="D1223" s="11" t="str">
        <x:v>Fitness</x:v>
      </x:c>
      <x:c r="E1223" s="8" t="str">
        <x:v>future</x:v>
      </x:c>
      <x:c r="F1223" s="8" t="str">
        <x:v>2026-09-28</x:v>
      </x:c>
      <x:c r="G1223" s="8" t="str">
        <x:v>2026-12-07</x:v>
      </x:c>
      <x:c r="H1223" s="8" t="n">
        <x:v>3</x:v>
      </x:c>
      <x:c r="I1223" s="8"/>
      <x:c r="J1223" s="8" t="n">
        <x:v>12</x:v>
      </x:c>
      <x:c r="K1223" s="8" t="str">
        <x:v>unverified-denominator</x:v>
      </x:c>
      <x:c r="L1223" s="8" t="d">
        <x:v>2026-09-16T05:12:38.111Z</x:v>
      </x:c>
      <x:c r="M1223" s="8" t="str">
        <x:v>https://apm.activecommunities.com/portlandparks/Activity_Search/teenforce---boxing-personal-power/208512?locale=en-US</x:v>
      </x:c>
    </x:row>
    <x:row r="1224" ht="38" customHeight="1">
      <x:c r="A1224" s="7" t="str">
        <x:v>208513</x:v>
      </x:c>
      <x:c r="B1224" s="12" t="str">
        <x:v>TeenForce - Boxing: Personal Power</x:v>
      </x:c>
      <x:c r="C1224" s="12" t="str">
        <x:v>Matt Dishman Cmty Ctr</x:v>
      </x:c>
      <x:c r="D1224" s="12" t="str">
        <x:v>Fitness</x:v>
      </x:c>
      <x:c r="E1224" s="7" t="str">
        <x:v>future</x:v>
      </x:c>
      <x:c r="F1224" s="7" t="str">
        <x:v>2026-09-28</x:v>
      </x:c>
      <x:c r="G1224" s="7" t="str">
        <x:v>2026-12-07</x:v>
      </x:c>
      <x:c r="H1224" s="7" t="n">
        <x:v>0</x:v>
      </x:c>
      <x:c r="I1224" s="7"/>
      <x:c r="J1224" s="7" t="n">
        <x:v>12</x:v>
      </x:c>
      <x:c r="K1224" s="7" t="str">
        <x:v>unverified-denominator</x:v>
      </x:c>
      <x:c r="L1224" s="7" t="d">
        <x:v>2026-09-16T05:12:38.111Z</x:v>
      </x:c>
      <x:c r="M1224" s="7" t="str">
        <x:v>https://apm.activecommunities.com/portlandparks/Activity_Search/teenforce---boxing-personal-power/208513?locale=en-US</x:v>
      </x:c>
    </x:row>
    <x:row r="1225" ht="38" customHeight="1">
      <x:c r="A1225" s="8" t="str">
        <x:v>208514</x:v>
      </x:c>
      <x:c r="B1225" s="11" t="str">
        <x:v>TeenForce - Comic and Anime Art</x:v>
      </x:c>
      <x:c r="C1225" s="11" t="str">
        <x:v>Matt Dishman Cmty Ctr</x:v>
      </x:c>
      <x:c r="D1225" s="11" t="str">
        <x:v>Arts &amp; Crafts - Variety</x:v>
      </x:c>
      <x:c r="E1225" s="8" t="str">
        <x:v>future</x:v>
      </x:c>
      <x:c r="F1225" s="8" t="str">
        <x:v>2026-09-28</x:v>
      </x:c>
      <x:c r="G1225" s="8" t="str">
        <x:v>2026-12-07</x:v>
      </x:c>
      <x:c r="H1225" s="8" t="n">
        <x:v>5</x:v>
      </x:c>
      <x:c r="I1225" s="8"/>
      <x:c r="J1225" s="8" t="n">
        <x:v>12</x:v>
      </x:c>
      <x:c r="K1225" s="8" t="str">
        <x:v>unverified-denominator</x:v>
      </x:c>
      <x:c r="L1225" s="8" t="d">
        <x:v>2026-09-16T05:12:38.111Z</x:v>
      </x:c>
      <x:c r="M1225" s="8" t="str">
        <x:v>https://apm.activecommunities.com/portlandparks/Activity_Search/teenforce---comic-and-anime-art/208514?locale=en-US</x:v>
      </x:c>
    </x:row>
    <x:row r="1226" ht="38" customHeight="1">
      <x:c r="A1226" s="7" t="str">
        <x:v>208601</x:v>
      </x:c>
      <x:c r="B1226" s="12" t="str">
        <x:v>TeenForce - Comic and Anime Art</x:v>
      </x:c>
      <x:c r="C1226" s="12" t="str">
        <x:v>Southwest Cmty Ctr</x:v>
      </x:c>
      <x:c r="D1226" s="12" t="str">
        <x:v>Arts &amp; Crafts - Variety</x:v>
      </x:c>
      <x:c r="E1226" s="7" t="str">
        <x:v>future</x:v>
      </x:c>
      <x:c r="F1226" s="7" t="str">
        <x:v>2026-09-30</x:v>
      </x:c>
      <x:c r="G1226" s="7" t="str">
        <x:v>2026-12-09</x:v>
      </x:c>
      <x:c r="H1226" s="7" t="n">
        <x:v>4</x:v>
      </x:c>
      <x:c r="I1226" s="7"/>
      <x:c r="J1226" s="7" t="n">
        <x:v>6</x:v>
      </x:c>
      <x:c r="K1226" s="7" t="str">
        <x:v>unverified-denominator</x:v>
      </x:c>
      <x:c r="L1226" s="7" t="d">
        <x:v>2026-09-16T05:12:38.111Z</x:v>
      </x:c>
      <x:c r="M1226" s="7" t="str">
        <x:v>https://apm.activecommunities.com/portlandparks/Activity_Search/teenforce---comic-and-anime-art/208601?locale=en-US</x:v>
      </x:c>
    </x:row>
    <x:row r="1227" ht="38" customHeight="1">
      <x:c r="A1227" s="8" t="str">
        <x:v>208767</x:v>
      </x:c>
      <x:c r="B1227" s="11" t="str">
        <x:v>TeenForce - Cooking with Friends</x:v>
      </x:c>
      <x:c r="C1227" s="11" t="str">
        <x:v>East Portland Cmty Ctr</x:v>
      </x:c>
      <x:c r="D1227" s="11" t="str">
        <x:v>Cooking</x:v>
      </x:c>
      <x:c r="E1227" s="8" t="str">
        <x:v>future</x:v>
      </x:c>
      <x:c r="F1227" s="8" t="str">
        <x:v>2026-11-12</x:v>
      </x:c>
      <x:c r="G1227" s="8" t="str">
        <x:v>2026-12-10</x:v>
      </x:c>
      <x:c r="H1227" s="8" t="n">
        <x:v>0</x:v>
      </x:c>
      <x:c r="I1227" s="8"/>
      <x:c r="J1227" s="8" t="n">
        <x:v>6</x:v>
      </x:c>
      <x:c r="K1227" s="8" t="str">
        <x:v>unverified-denominator</x:v>
      </x:c>
      <x:c r="L1227" s="8" t="d">
        <x:v>2026-09-16T05:12:38.111Z</x:v>
      </x:c>
      <x:c r="M1227" s="8" t="str">
        <x:v>https://apm.activecommunities.com/portlandparks/Activity_Search/teenforce---cooking-with-friends/208767?locale=en-US</x:v>
      </x:c>
    </x:row>
    <x:row r="1228" ht="38" customHeight="1">
      <x:c r="A1228" s="7" t="str">
        <x:v>208600</x:v>
      </x:c>
      <x:c r="B1228" s="12" t="str">
        <x:v>TeenForce - Cooking: International cuisine</x:v>
      </x:c>
      <x:c r="C1228" s="12" t="str">
        <x:v>Southwest Cmty Ctr</x:v>
      </x:c>
      <x:c r="D1228" s="12" t="str">
        <x:v>Cooking</x:v>
      </x:c>
      <x:c r="E1228" s="7" t="str">
        <x:v>future</x:v>
      </x:c>
      <x:c r="F1228" s="7" t="str">
        <x:v>2026-09-29</x:v>
      </x:c>
      <x:c r="G1228" s="7" t="str">
        <x:v>2026-12-01</x:v>
      </x:c>
      <x:c r="H1228" s="7" t="n">
        <x:v>6</x:v>
      </x:c>
      <x:c r="I1228" s="7"/>
      <x:c r="J1228" s="7" t="n">
        <x:v>8</x:v>
      </x:c>
      <x:c r="K1228" s="7" t="str">
        <x:v>unverified-denominator</x:v>
      </x:c>
      <x:c r="L1228" s="7" t="d">
        <x:v>2026-09-16T05:12:38.111Z</x:v>
      </x:c>
      <x:c r="M1228" s="7" t="str">
        <x:v>https://apm.activecommunities.com/portlandparks/Activity_Search/teenforce---cooking-international-cuisine/208600?locale=en-US</x:v>
      </x:c>
    </x:row>
    <x:row r="1229" ht="38" customHeight="1">
      <x:c r="A1229" s="8" t="str">
        <x:v>208523</x:v>
      </x:c>
      <x:c r="B1229" s="11" t="str">
        <x:v>TeenForce - Dance: Hip Hop</x:v>
      </x:c>
      <x:c r="C1229" s="11" t="str">
        <x:v>Montavilla Cmty Ctr</x:v>
      </x:c>
      <x:c r="D1229" s="11" t="str">
        <x:v>Dance</x:v>
      </x:c>
      <x:c r="E1229" s="8" t="str">
        <x:v>future</x:v>
      </x:c>
      <x:c r="F1229" s="8" t="str">
        <x:v>2026-09-29</x:v>
      </x:c>
      <x:c r="G1229" s="8" t="str">
        <x:v>2026-12-10</x:v>
      </x:c>
      <x:c r="H1229" s="8" t="n">
        <x:v>3</x:v>
      </x:c>
      <x:c r="I1229" s="8"/>
      <x:c r="J1229" s="8" t="n">
        <x:v>10</x:v>
      </x:c>
      <x:c r="K1229" s="8" t="str">
        <x:v>unverified-denominator</x:v>
      </x:c>
      <x:c r="L1229" s="8" t="d">
        <x:v>2026-09-16T05:12:38.111Z</x:v>
      </x:c>
      <x:c r="M1229" s="8" t="str">
        <x:v>https://apm.activecommunities.com/portlandparks/Activity_Search/teenforce---dance-hip-hop/208523?locale=en-US</x:v>
      </x:c>
    </x:row>
    <x:row r="1230" ht="38" customHeight="1">
      <x:c r="A1230" s="7" t="str">
        <x:v>208710</x:v>
      </x:c>
      <x:c r="B1230" s="12" t="str">
        <x:v>TeenForce - Dance: Hip Hop</x:v>
      </x:c>
      <x:c r="C1230" s="12" t="str">
        <x:v>Charles Jordan Cmty Ctr</x:v>
      </x:c>
      <x:c r="D1230" s="12" t="str">
        <x:v>Dance</x:v>
      </x:c>
      <x:c r="E1230" s="7" t="str">
        <x:v>future</x:v>
      </x:c>
      <x:c r="F1230" s="7" t="str">
        <x:v>2026-10-02</x:v>
      </x:c>
      <x:c r="G1230" s="7" t="str">
        <x:v>2026-12-11</x:v>
      </x:c>
      <x:c r="H1230" s="7" t="n">
        <x:v>0</x:v>
      </x:c>
      <x:c r="I1230" s="7"/>
      <x:c r="J1230" s="7" t="n">
        <x:v>10</x:v>
      </x:c>
      <x:c r="K1230" s="7" t="str">
        <x:v>unverified-denominator</x:v>
      </x:c>
      <x:c r="L1230" s="7" t="d">
        <x:v>2026-09-16T05:12:38.111Z</x:v>
      </x:c>
      <x:c r="M1230" s="7" t="str">
        <x:v>https://apm.activecommunities.com/portlandparks/Activity_Search/teenforce---dance-hip-hop/208710?locale=en-US</x:v>
      </x:c>
    </x:row>
    <x:row r="1231" ht="38" customHeight="1">
      <x:c r="A1231" s="8" t="str">
        <x:v>208768</x:v>
      </x:c>
      <x:c r="B1231" s="11" t="str">
        <x:v>TeenForce - Dance: Hip Hop</x:v>
      </x:c>
      <x:c r="C1231" s="11" t="str">
        <x:v>East Portland Cmty Ctr</x:v>
      </x:c>
      <x:c r="D1231" s="11" t="str">
        <x:v>Dance</x:v>
      </x:c>
      <x:c r="E1231" s="8" t="str">
        <x:v>future</x:v>
      </x:c>
      <x:c r="F1231" s="8" t="str">
        <x:v>2026-11-06</x:v>
      </x:c>
      <x:c r="G1231" s="8" t="str">
        <x:v>2026-12-11</x:v>
      </x:c>
      <x:c r="H1231" s="8" t="n">
        <x:v>0</x:v>
      </x:c>
      <x:c r="I1231" s="8"/>
      <x:c r="J1231" s="8" t="n">
        <x:v>20</x:v>
      </x:c>
      <x:c r="K1231" s="8" t="str">
        <x:v>unverified-denominator</x:v>
      </x:c>
      <x:c r="L1231" s="8" t="d">
        <x:v>2026-09-16T05:12:38.111Z</x:v>
      </x:c>
      <x:c r="M1231" s="8" t="str">
        <x:v>https://apm.activecommunities.com/portlandparks/Activity_Search/teenforce---dance-hip-hop/208768?locale=en-US</x:v>
      </x:c>
    </x:row>
    <x:row r="1232" ht="38" customHeight="1">
      <x:c r="A1232" s="7" t="str">
        <x:v>208597</x:v>
      </x:c>
      <x:c r="B1232" s="12" t="str">
        <x:v>TeenForce - Dungeons &amp; Dragons: All levels</x:v>
      </x:c>
      <x:c r="C1232" s="12" t="str">
        <x:v>Southwest Cmty Ctr</x:v>
      </x:c>
      <x:c r="D1232" s="12" t="str">
        <x:v>Education</x:v>
      </x:c>
      <x:c r="E1232" s="7" t="str">
        <x:v>future</x:v>
      </x:c>
      <x:c r="F1232" s="7" t="str">
        <x:v>2026-09-28</x:v>
      </x:c>
      <x:c r="G1232" s="7" t="str">
        <x:v>2026-12-07</x:v>
      </x:c>
      <x:c r="H1232" s="7" t="n">
        <x:v>6</x:v>
      </x:c>
      <x:c r="I1232" s="7"/>
      <x:c r="J1232" s="7" t="n">
        <x:v>6</x:v>
      </x:c>
      <x:c r="K1232" s="7" t="str">
        <x:v>unverified-denominator</x:v>
      </x:c>
      <x:c r="L1232" s="7" t="d">
        <x:v>2026-09-16T05:12:38.111Z</x:v>
      </x:c>
      <x:c r="M1232" s="7" t="str">
        <x:v>https://apm.activecommunities.com/portlandparks/Activity_Search/teenforce---dungeons-dragons-all-levels/208597?locale=en-US</x:v>
      </x:c>
    </x:row>
    <x:row r="1233" ht="38" customHeight="1">
      <x:c r="A1233" s="8" t="str">
        <x:v>208598</x:v>
      </x:c>
      <x:c r="B1233" s="11" t="str">
        <x:v>TeenForce - Dungeons &amp; Dragons: All levels</x:v>
      </x:c>
      <x:c r="C1233" s="11" t="str">
        <x:v>Southwest Cmty Ctr</x:v>
      </x:c>
      <x:c r="D1233" s="11" t="str">
        <x:v>Education</x:v>
      </x:c>
      <x:c r="E1233" s="8" t="str">
        <x:v>future</x:v>
      </x:c>
      <x:c r="F1233" s="8" t="str">
        <x:v>2026-10-01</x:v>
      </x:c>
      <x:c r="G1233" s="8" t="str">
        <x:v>2026-12-10</x:v>
      </x:c>
      <x:c r="H1233" s="8" t="n">
        <x:v>6</x:v>
      </x:c>
      <x:c r="I1233" s="8" t="n">
        <x:v>3</x:v>
      </x:c>
      <x:c r="J1233" s="8" t="n">
        <x:v>6</x:v>
      </x:c>
      <x:c r="K1233" s="8" t="str">
        <x:v>unverified-denominator</x:v>
      </x:c>
      <x:c r="L1233" s="8" t="d">
        <x:v>2026-09-16T05:12:38.111Z</x:v>
      </x:c>
      <x:c r="M1233" s="8" t="str">
        <x:v>https://apm.activecommunities.com/portlandparks/Activity_Search/teenforce---dungeons-dragons-all-levels/208598?locale=en-US</x:v>
      </x:c>
    </x:row>
    <x:row r="1234" ht="38" customHeight="1">
      <x:c r="A1234" s="7" t="str">
        <x:v>208564</x:v>
      </x:c>
      <x:c r="B1234" s="12" t="str">
        <x:v>TeenForce - Dungeons &amp; Dragons: All levels</x:v>
      </x:c>
      <x:c r="C1234" s="12" t="str">
        <x:v>Charles Jordan Cmty Ctr</x:v>
      </x:c>
      <x:c r="D1234" s="12" t="str">
        <x:v>Education</x:v>
      </x:c>
      <x:c r="E1234" s="7" t="str">
        <x:v>future</x:v>
      </x:c>
      <x:c r="F1234" s="7" t="str">
        <x:v>2026-10-02</x:v>
      </x:c>
      <x:c r="G1234" s="7" t="str">
        <x:v>2026-12-11</x:v>
      </x:c>
      <x:c r="H1234" s="7" t="n">
        <x:v>4</x:v>
      </x:c>
      <x:c r="I1234" s="7"/>
      <x:c r="J1234" s="7" t="n">
        <x:v>7</x:v>
      </x:c>
      <x:c r="K1234" s="7" t="str">
        <x:v>unverified-denominator</x:v>
      </x:c>
      <x:c r="L1234" s="7" t="d">
        <x:v>2026-09-16T05:12:38.111Z</x:v>
      </x:c>
      <x:c r="M1234" s="7" t="str">
        <x:v>https://apm.activecommunities.com/portlandparks/Activity_Search/teenforce---dungeons-dragons-all-levels/208564?locale=en-US</x:v>
      </x:c>
    </x:row>
    <x:row r="1235" ht="38" customHeight="1">
      <x:c r="A1235" s="8" t="str">
        <x:v>208548</x:v>
      </x:c>
      <x:c r="B1235" s="11" t="str">
        <x:v>TeenForce - Dungeons &amp; Dragons: All levels</x:v>
      </x:c>
      <x:c r="C1235" s="11" t="str">
        <x:v>Mt Scott Cmty Ctr</x:v>
      </x:c>
      <x:c r="D1235" s="11" t="str">
        <x:v>Education</x:v>
      </x:c>
      <x:c r="E1235" s="8" t="str">
        <x:v>future</x:v>
      </x:c>
      <x:c r="F1235" s="8" t="str">
        <x:v>2026-10-16</x:v>
      </x:c>
      <x:c r="G1235" s="8" t="str">
        <x:v>2026-12-11</x:v>
      </x:c>
      <x:c r="H1235" s="8" t="n">
        <x:v>4</x:v>
      </x:c>
      <x:c r="I1235" s="8" t="n">
        <x:v>4</x:v>
      </x:c>
      <x:c r="J1235" s="8" t="n">
        <x:v>5</x:v>
      </x:c>
      <x:c r="K1235" s="8" t="str">
        <x:v>unverified-denominator</x:v>
      </x:c>
      <x:c r="L1235" s="8" t="d">
        <x:v>2026-09-16T05:12:38.111Z</x:v>
      </x:c>
      <x:c r="M1235" s="8" t="str">
        <x:v>https://apm.activecommunities.com/portlandparks/Activity_Search/teenforce---dungeons-dragons-all-levels/208548?locale=en-US</x:v>
      </x:c>
    </x:row>
    <x:row r="1236" ht="38" customHeight="1">
      <x:c r="A1236" s="7" t="str">
        <x:v>208549</x:v>
      </x:c>
      <x:c r="B1236" s="12" t="str">
        <x:v>TeenForce - Dungeons &amp; Dragons: All levels</x:v>
      </x:c>
      <x:c r="C1236" s="12" t="str">
        <x:v>Mt Scott Cmty Ctr</x:v>
      </x:c>
      <x:c r="D1236" s="12" t="str">
        <x:v>Education</x:v>
      </x:c>
      <x:c r="E1236" s="7" t="str">
        <x:v>future</x:v>
      </x:c>
      <x:c r="F1236" s="7" t="str">
        <x:v>2026-10-16</x:v>
      </x:c>
      <x:c r="G1236" s="7" t="str">
        <x:v>2026-12-11</x:v>
      </x:c>
      <x:c r="H1236" s="7" t="n">
        <x:v>3</x:v>
      </x:c>
      <x:c r="I1236" s="7"/>
      <x:c r="J1236" s="7" t="n">
        <x:v>6</x:v>
      </x:c>
      <x:c r="K1236" s="7" t="str">
        <x:v>unverified-denominator</x:v>
      </x:c>
      <x:c r="L1236" s="7" t="d">
        <x:v>2026-09-16T05:12:38.111Z</x:v>
      </x:c>
      <x:c r="M1236" s="7" t="str">
        <x:v>https://apm.activecommunities.com/portlandparks/Activity_Search/teenforce---dungeons-dragons-all-levels/208549?locale=en-US</x:v>
      </x:c>
    </x:row>
    <x:row r="1237" ht="38" customHeight="1">
      <x:c r="A1237" s="8" t="str">
        <x:v>208770</x:v>
      </x:c>
      <x:c r="B1237" s="11" t="str">
        <x:v>TeenForce - Girls Boxing: Personal Power</x:v>
      </x:c>
      <x:c r="C1237" s="11" t="str">
        <x:v>East Portland Cmty Ctr</x:v>
      </x:c>
      <x:c r="D1237" s="11" t="str">
        <x:v>Fitness</x:v>
      </x:c>
      <x:c r="E1237" s="8" t="str">
        <x:v>future</x:v>
      </x:c>
      <x:c r="F1237" s="8" t="str">
        <x:v>2026-11-03</x:v>
      </x:c>
      <x:c r="G1237" s="8" t="str">
        <x:v>2026-12-15</x:v>
      </x:c>
      <x:c r="H1237" s="8" t="n">
        <x:v>0</x:v>
      </x:c>
      <x:c r="I1237" s="8"/>
      <x:c r="J1237" s="8" t="n">
        <x:v>10</x:v>
      </x:c>
      <x:c r="K1237" s="8" t="str">
        <x:v>unverified-denominator</x:v>
      </x:c>
      <x:c r="L1237" s="8" t="d">
        <x:v>2026-09-16T05:12:38.111Z</x:v>
      </x:c>
      <x:c r="M1237" s="8" t="str">
        <x:v>https://apm.activecommunities.com/portlandparks/Activity_Search/teenforce---girls-boxing-personal-power/208770?locale=en-US</x:v>
      </x:c>
    </x:row>
    <x:row r="1238" ht="38" customHeight="1">
      <x:c r="A1238" s="7" t="str">
        <x:v>208550</x:v>
      </x:c>
      <x:c r="B1238" s="12" t="str">
        <x:v>TeenForce - Magic the Gathering</x:v>
      </x:c>
      <x:c r="C1238" s="12" t="str">
        <x:v>Mt Scott Cmty Ctr</x:v>
      </x:c>
      <x:c r="D1238" s="12" t="str">
        <x:v>Education</x:v>
      </x:c>
      <x:c r="E1238" s="7" t="str">
        <x:v>future</x:v>
      </x:c>
      <x:c r="F1238" s="7" t="str">
        <x:v>2026-10-20</x:v>
      </x:c>
      <x:c r="G1238" s="7" t="str">
        <x:v>2026-12-01</x:v>
      </x:c>
      <x:c r="H1238" s="7" t="n">
        <x:v>2</x:v>
      </x:c>
      <x:c r="I1238" s="7"/>
      <x:c r="J1238" s="7" t="n">
        <x:v>5</x:v>
      </x:c>
      <x:c r="K1238" s="7" t="str">
        <x:v>unverified-denominator</x:v>
      </x:c>
      <x:c r="L1238" s="7" t="d">
        <x:v>2026-09-16T05:12:38.111Z</x:v>
      </x:c>
      <x:c r="M1238" s="7" t="str">
        <x:v>https://apm.activecommunities.com/portlandparks/Activity_Search/teenforce---magic-the-gathering/208550?locale=en-US</x:v>
      </x:c>
    </x:row>
    <x:row r="1239" ht="38" customHeight="1">
      <x:c r="A1239" s="8" t="str">
        <x:v>208599</x:v>
      </x:c>
      <x:c r="B1239" s="11" t="str">
        <x:v>TeenForce - Music Production</x:v>
      </x:c>
      <x:c r="C1239" s="11" t="str">
        <x:v>Southwest Cmty Ctr</x:v>
      </x:c>
      <x:c r="D1239" s="11" t="str">
        <x:v>Music</x:v>
      </x:c>
      <x:c r="E1239" s="8" t="str">
        <x:v>future</x:v>
      </x:c>
      <x:c r="F1239" s="8" t="str">
        <x:v>2026-09-30</x:v>
      </x:c>
      <x:c r="G1239" s="8" t="str">
        <x:v>2026-12-09</x:v>
      </x:c>
      <x:c r="H1239" s="8" t="n">
        <x:v>3</x:v>
      </x:c>
      <x:c r="I1239" s="8"/>
      <x:c r="J1239" s="8" t="n">
        <x:v>6</x:v>
      </x:c>
      <x:c r="K1239" s="8" t="str">
        <x:v>unverified-denominator</x:v>
      </x:c>
      <x:c r="L1239" s="8" t="d">
        <x:v>2026-09-16T05:12:38.111Z</x:v>
      </x:c>
      <x:c r="M1239" s="8" t="str">
        <x:v>https://apm.activecommunities.com/portlandparks/Activity_Search/teenforce---music-production/208599?locale=en-US</x:v>
      </x:c>
    </x:row>
    <x:row r="1240" ht="38" customHeight="1">
      <x:c r="A1240" s="7" t="str">
        <x:v>208515</x:v>
      </x:c>
      <x:c r="B1240" s="12" t="str">
        <x:v>TeenForce - Music Workshop</x:v>
      </x:c>
      <x:c r="C1240" s="12" t="str">
        <x:v>Matt Dishman Cmty Ctr</x:v>
      </x:c>
      <x:c r="D1240" s="12" t="str">
        <x:v>Music</x:v>
      </x:c>
      <x:c r="E1240" s="7" t="str">
        <x:v>future</x:v>
      </x:c>
      <x:c r="F1240" s="7" t="str">
        <x:v>2026-10-02</x:v>
      </x:c>
      <x:c r="G1240" s="7" t="str">
        <x:v>2026-12-11</x:v>
      </x:c>
      <x:c r="H1240" s="7" t="n">
        <x:v>0</x:v>
      </x:c>
      <x:c r="I1240" s="7"/>
      <x:c r="J1240" s="7" t="n">
        <x:v>8</x:v>
      </x:c>
      <x:c r="K1240" s="7" t="str">
        <x:v>unverified-denominator</x:v>
      </x:c>
      <x:c r="L1240" s="7" t="d">
        <x:v>2026-09-16T05:12:38.111Z</x:v>
      </x:c>
      <x:c r="M1240" s="7" t="str">
        <x:v>https://apm.activecommunities.com/portlandparks/Activity_Search/teenforce---music-workshop/208515?locale=en-US</x:v>
      </x:c>
    </x:row>
    <x:row r="1241" ht="38" customHeight="1">
      <x:c r="A1241" s="8" t="str">
        <x:v>208551</x:v>
      </x:c>
      <x:c r="B1241" s="11" t="str">
        <x:v>TeenForce - Photography</x:v>
      </x:c>
      <x:c r="C1241" s="11" t="str">
        <x:v>Charles Jordan Cmty Ctr</x:v>
      </x:c>
      <x:c r="D1241" s="11" t="str">
        <x:v>Arts &amp; Crafts - Glass/Photo/Print &amp; Wood</x:v>
      </x:c>
      <x:c r="E1241" s="8" t="str">
        <x:v>future</x:v>
      </x:c>
      <x:c r="F1241" s="8" t="str">
        <x:v>2026-10-01</x:v>
      </x:c>
      <x:c r="G1241" s="8" t="str">
        <x:v>2026-12-10</x:v>
      </x:c>
      <x:c r="H1241" s="8" t="n">
        <x:v>2</x:v>
      </x:c>
      <x:c r="I1241" s="8"/>
      <x:c r="J1241" s="8" t="n">
        <x:v>6</x:v>
      </x:c>
      <x:c r="K1241" s="8" t="str">
        <x:v>unverified-denominator</x:v>
      </x:c>
      <x:c r="L1241" s="8" t="d">
        <x:v>2026-09-16T05:12:38.111Z</x:v>
      </x:c>
      <x:c r="M1241" s="8" t="str">
        <x:v>https://apm.activecommunities.com/portlandparks/Activity_Search/teenforce---photography/208551?locale=en-US</x:v>
      </x:c>
    </x:row>
    <x:row r="1242" ht="38" customHeight="1">
      <x:c r="A1242" s="7" t="str">
        <x:v>208554</x:v>
      </x:c>
      <x:c r="B1242" s="12" t="str">
        <x:v>TeenForce - Sewing: DIY Fashion</x:v>
      </x:c>
      <x:c r="C1242" s="12" t="str">
        <x:v>Charles Jordan Cmty Ctr</x:v>
      </x:c>
      <x:c r="D1242" s="12" t="str">
        <x:v>Arts &amp; Crafts - Variety</x:v>
      </x:c>
      <x:c r="E1242" s="7" t="str">
        <x:v>future</x:v>
      </x:c>
      <x:c r="F1242" s="7" t="str">
        <x:v>2026-09-30</x:v>
      </x:c>
      <x:c r="G1242" s="7" t="str">
        <x:v>2026-12-09</x:v>
      </x:c>
      <x:c r="H1242" s="7" t="n">
        <x:v>2</x:v>
      </x:c>
      <x:c r="I1242" s="7"/>
      <x:c r="J1242" s="7" t="n">
        <x:v>6</x:v>
      </x:c>
      <x:c r="K1242" s="7" t="str">
        <x:v>unverified-denominator</x:v>
      </x:c>
      <x:c r="L1242" s="7" t="d">
        <x:v>2026-09-16T05:12:38.111Z</x:v>
      </x:c>
      <x:c r="M1242" s="7" t="str">
        <x:v>https://apm.activecommunities.com/portlandparks/Activity_Search/teenforce---sewing-diy-fashion/208554?locale=en-US</x:v>
      </x:c>
    </x:row>
    <x:row r="1243" ht="38" customHeight="1">
      <x:c r="A1243" s="8" t="str">
        <x:v>208424</x:v>
      </x:c>
      <x:c r="B1243" s="11" t="str">
        <x:v>TeenForce - Volleyball</x:v>
      </x:c>
      <x:c r="C1243" s="11" t="str">
        <x:v>Charles Jordan Cmty Ctr</x:v>
      </x:c>
      <x:c r="D1243" s="11" t="str">
        <x:v>Sports - Volleyball</x:v>
      </x:c>
      <x:c r="E1243" s="8" t="str">
        <x:v>future</x:v>
      </x:c>
      <x:c r="F1243" s="8" t="str">
        <x:v>2026-09-30</x:v>
      </x:c>
      <x:c r="G1243" s="8" t="str">
        <x:v>2026-12-09</x:v>
      </x:c>
      <x:c r="H1243" s="8" t="n">
        <x:v>2</x:v>
      </x:c>
      <x:c r="I1243" s="8"/>
      <x:c r="J1243" s="8" t="n">
        <x:v>30</x:v>
      </x:c>
      <x:c r="K1243" s="8" t="str">
        <x:v>unverified-denominator</x:v>
      </x:c>
      <x:c r="L1243" s="8" t="d">
        <x:v>2026-09-16T05:12:38.111Z</x:v>
      </x:c>
      <x:c r="M1243" s="8" t="str">
        <x:v>https://apm.activecommunities.com/portlandparks/Activity_Search/teenforce---volleyball/208424?locale=en-US</x:v>
      </x:c>
    </x:row>
    <x:row r="1244" ht="38" customHeight="1">
      <x:c r="A1244" s="7" t="str">
        <x:v>207832</x:v>
      </x:c>
      <x:c r="B1244" s="12" t="str">
        <x:v>Theatre - Acting &amp; Movement</x:v>
      </x:c>
      <x:c r="C1244" s="12" t="str">
        <x:v>East Portland Cmty Ctr</x:v>
      </x:c>
      <x:c r="D1244" s="12" t="str">
        <x:v>Arts - Theatre, Drama, Acting</x:v>
      </x:c>
      <x:c r="E1244" s="7" t="str">
        <x:v>future</x:v>
      </x:c>
      <x:c r="F1244" s="7" t="str">
        <x:v>2026-09-30</x:v>
      </x:c>
      <x:c r="G1244" s="7" t="str">
        <x:v>2026-12-09</x:v>
      </x:c>
      <x:c r="H1244" s="7" t="n">
        <x:v>8</x:v>
      </x:c>
      <x:c r="I1244" s="7" t="n">
        <x:v>1</x:v>
      </x:c>
      <x:c r="J1244" s="7" t="n">
        <x:v>10</x:v>
      </x:c>
      <x:c r="K1244" s="7" t="str">
        <x:v>unverified-denominator</x:v>
      </x:c>
      <x:c r="L1244" s="7" t="d">
        <x:v>2026-09-16T05:12:38.111Z</x:v>
      </x:c>
      <x:c r="M1244" s="7" t="str">
        <x:v>https://apm.activecommunities.com/portlandparks/Activity_Search/theatre---acting-movement/207832?locale=en-US</x:v>
      </x:c>
    </x:row>
    <x:row r="1245" ht="38" customHeight="1">
      <x:c r="A1245" s="8" t="str">
        <x:v>208805</x:v>
      </x:c>
      <x:c r="B1245" s="11" t="str">
        <x:v>Theatre Arts - Acting Basics</x:v>
      </x:c>
      <x:c r="C1245" s="11" t="str">
        <x:v>Multnomah Arts Ctr</x:v>
      </x:c>
      <x:c r="D1245" s="11" t="str">
        <x:v>Arts - Theatre, Drama, Acting</x:v>
      </x:c>
      <x:c r="E1245" s="8" t="str">
        <x:v>future</x:v>
      </x:c>
      <x:c r="F1245" s="8" t="str">
        <x:v>2026-09-30</x:v>
      </x:c>
      <x:c r="G1245" s="8" t="str">
        <x:v>2026-12-09</x:v>
      </x:c>
      <x:c r="H1245" s="8" t="n">
        <x:v>6</x:v>
      </x:c>
      <x:c r="I1245" s="8"/>
      <x:c r="J1245" s="8" t="n">
        <x:v>12</x:v>
      </x:c>
      <x:c r="K1245" s="8" t="str">
        <x:v>unverified-denominator</x:v>
      </x:c>
      <x:c r="L1245" s="8" t="d">
        <x:v>2026-09-16T05:12:38.111Z</x:v>
      </x:c>
      <x:c r="M1245" s="8" t="str">
        <x:v>https://apm.activecommunities.com/portlandparks/Activity_Search/theatre-arts---acting-basics/208805?locale=en-US</x:v>
      </x:c>
    </x:row>
    <x:row r="1246" ht="38" customHeight="1">
      <x:c r="A1246" s="7" t="str">
        <x:v>207866</x:v>
      </x:c>
      <x:c r="B1246" s="12" t="str">
        <x:v>Theatre Arts - Acting Fundamentals</x:v>
      </x:c>
      <x:c r="C1246" s="12" t="str">
        <x:v>Rosewood Initiative</x:v>
      </x:c>
      <x:c r="D1246" s="12" t="str">
        <x:v>Arts - Theatre, Drama, Acting</x:v>
      </x:c>
      <x:c r="E1246" s="7" t="str">
        <x:v>future</x:v>
      </x:c>
      <x:c r="F1246" s="7" t="str">
        <x:v>2026-10-01</x:v>
      </x:c>
      <x:c r="G1246" s="7" t="str">
        <x:v>2026-12-10</x:v>
      </x:c>
      <x:c r="H1246" s="7" t="n">
        <x:v>2</x:v>
      </x:c>
      <x:c r="I1246" s="7"/>
      <x:c r="J1246" s="7" t="n">
        <x:v>12</x:v>
      </x:c>
      <x:c r="K1246" s="7" t="str">
        <x:v>unverified-denominator</x:v>
      </x:c>
      <x:c r="L1246" s="7" t="d">
        <x:v>2026-09-16T05:12:38.111Z</x:v>
      </x:c>
      <x:c r="M1246" s="7" t="str">
        <x:v>https://apm.activecommunities.com/portlandparks/Activity_Search/theatre-arts---acting-fundamentals/207866?locale=en-US</x:v>
      </x:c>
    </x:row>
    <x:row r="1247" ht="38" customHeight="1">
      <x:c r="A1247" s="8" t="str">
        <x:v>208586</x:v>
      </x:c>
      <x:c r="B1247" s="11" t="str">
        <x:v>Theatre Arts - Adult Acting I</x:v>
      </x:c>
      <x:c r="C1247" s="11" t="str">
        <x:v>Multnomah Arts Ctr</x:v>
      </x:c>
      <x:c r="D1247" s="11" t="str">
        <x:v>Arts - Theatre, Drama, Acting</x:v>
      </x:c>
      <x:c r="E1247" s="8" t="str">
        <x:v>future</x:v>
      </x:c>
      <x:c r="F1247" s="8" t="str">
        <x:v>2026-09-28</x:v>
      </x:c>
      <x:c r="G1247" s="8" t="str">
        <x:v>2026-12-07</x:v>
      </x:c>
      <x:c r="H1247" s="8" t="n">
        <x:v>6</x:v>
      </x:c>
      <x:c r="I1247" s="8"/>
      <x:c r="J1247" s="8" t="n">
        <x:v>12</x:v>
      </x:c>
      <x:c r="K1247" s="8" t="str">
        <x:v>unverified-denominator</x:v>
      </x:c>
      <x:c r="L1247" s="8" t="d">
        <x:v>2026-09-16T05:12:38.111Z</x:v>
      </x:c>
      <x:c r="M1247" s="8" t="str">
        <x:v>https://apm.activecommunities.com/portlandparks/Activity_Search/theatre-arts---adult-acting-i/208586?locale=en-US</x:v>
      </x:c>
    </x:row>
    <x:row r="1248" ht="38" customHeight="1">
      <x:c r="A1248" s="7" t="str">
        <x:v>208806</x:v>
      </x:c>
      <x:c r="B1248" s="12" t="str">
        <x:v>Theatre Arts - Adult Improv I</x:v>
      </x:c>
      <x:c r="C1248" s="12" t="str">
        <x:v>Multnomah Arts Ctr</x:v>
      </x:c>
      <x:c r="D1248" s="12" t="str">
        <x:v>Arts - Theatre, Drama, Acting</x:v>
      </x:c>
      <x:c r="E1248" s="7" t="str">
        <x:v>future</x:v>
      </x:c>
      <x:c r="F1248" s="7" t="str">
        <x:v>2026-10-03</x:v>
      </x:c>
      <x:c r="G1248" s="7" t="str">
        <x:v>2026-12-12</x:v>
      </x:c>
      <x:c r="H1248" s="7" t="n">
        <x:v>3</x:v>
      </x:c>
      <x:c r="I1248" s="7"/>
      <x:c r="J1248" s="7" t="n">
        <x:v>12</x:v>
      </x:c>
      <x:c r="K1248" s="7" t="str">
        <x:v>unverified-denominator</x:v>
      </x:c>
      <x:c r="L1248" s="7" t="d">
        <x:v>2026-09-16T05:12:38.111Z</x:v>
      </x:c>
      <x:c r="M1248" s="7" t="str">
        <x:v>https://apm.activecommunities.com/portlandparks/Activity_Search/theatre-arts---adult-improv-i/208806?locale=en-US</x:v>
      </x:c>
    </x:row>
    <x:row r="1249" ht="38" customHeight="1">
      <x:c r="A1249" s="8" t="str">
        <x:v>208807</x:v>
      </x:c>
      <x:c r="B1249" s="11" t="str">
        <x:v>Theatre Arts - Adult Improv I</x:v>
      </x:c>
      <x:c r="C1249" s="11" t="str">
        <x:v>Multnomah Arts Ctr</x:v>
      </x:c>
      <x:c r="D1249" s="11" t="str">
        <x:v>Arts - Theatre, Drama, Acting</x:v>
      </x:c>
      <x:c r="E1249" s="8" t="str">
        <x:v>future</x:v>
      </x:c>
      <x:c r="F1249" s="8" t="str">
        <x:v>2026-09-29</x:v>
      </x:c>
      <x:c r="G1249" s="8" t="str">
        <x:v>2026-12-01</x:v>
      </x:c>
      <x:c r="H1249" s="8" t="n">
        <x:v>11</x:v>
      </x:c>
      <x:c r="I1249" s="8"/>
      <x:c r="J1249" s="8" t="n">
        <x:v>12</x:v>
      </x:c>
      <x:c r="K1249" s="8" t="str">
        <x:v>unverified-denominator</x:v>
      </x:c>
      <x:c r="L1249" s="8" t="d">
        <x:v>2026-09-16T05:12:38.111Z</x:v>
      </x:c>
      <x:c r="M1249" s="8" t="str">
        <x:v>https://apm.activecommunities.com/portlandparks/Activity_Search/theatre-arts---adult-improv-i/208807?locale=en-US</x:v>
      </x:c>
    </x:row>
    <x:row r="1250" ht="38" customHeight="1">
      <x:c r="A1250" s="7" t="str">
        <x:v>208587</x:v>
      </x:c>
      <x:c r="B1250" s="12" t="str">
        <x:v>Theatre Arts - Adult Improv II</x:v>
      </x:c>
      <x:c r="C1250" s="12" t="str">
        <x:v>Multnomah Arts Ctr</x:v>
      </x:c>
      <x:c r="D1250" s="12" t="str">
        <x:v>Arts - Theatre, Drama, Acting</x:v>
      </x:c>
      <x:c r="E1250" s="7" t="str">
        <x:v>future</x:v>
      </x:c>
      <x:c r="F1250" s="7" t="str">
        <x:v>2026-09-28</x:v>
      </x:c>
      <x:c r="G1250" s="7" t="str">
        <x:v>2026-12-07</x:v>
      </x:c>
      <x:c r="H1250" s="7" t="n">
        <x:v>7</x:v>
      </x:c>
      <x:c r="I1250" s="7"/>
      <x:c r="J1250" s="7" t="n">
        <x:v>12</x:v>
      </x:c>
      <x:c r="K1250" s="7" t="str">
        <x:v>unverified-denominator</x:v>
      </x:c>
      <x:c r="L1250" s="7" t="d">
        <x:v>2026-09-16T05:12:38.111Z</x:v>
      </x:c>
      <x:c r="M1250" s="7" t="str">
        <x:v>https://apm.activecommunities.com/portlandparks/Activity_Search/theatre-arts---adult-improv-ii/208587?locale=en-US</x:v>
      </x:c>
    </x:row>
    <x:row r="1251" ht="38" customHeight="1">
      <x:c r="A1251" s="8" t="str">
        <x:v>208604</x:v>
      </x:c>
      <x:c r="B1251" s="11" t="str">
        <x:v>Theatre Arts - Let's Pretend</x:v>
      </x:c>
      <x:c r="C1251" s="11" t="str">
        <x:v>Multnomah Arts Ctr</x:v>
      </x:c>
      <x:c r="D1251" s="11" t="str">
        <x:v>Arts - Theatre, Drama, Acting</x:v>
      </x:c>
      <x:c r="E1251" s="8" t="str">
        <x:v>future</x:v>
      </x:c>
      <x:c r="F1251" s="8" t="str">
        <x:v>2026-10-03</x:v>
      </x:c>
      <x:c r="G1251" s="8" t="str">
        <x:v>2026-12-12</x:v>
      </x:c>
      <x:c r="H1251" s="8" t="n">
        <x:v>12</x:v>
      </x:c>
      <x:c r="I1251" s="8"/>
      <x:c r="J1251" s="8" t="n">
        <x:v>12</x:v>
      </x:c>
      <x:c r="K1251" s="8" t="str">
        <x:v>unverified-denominator</x:v>
      </x:c>
      <x:c r="L1251" s="8" t="d">
        <x:v>2026-09-16T05:12:38.111Z</x:v>
      </x:c>
      <x:c r="M1251" s="8" t="str">
        <x:v>https://apm.activecommunities.com/portlandparks/Activity_Search/theatre-arts---let-s-pretend/208604?locale=en-US</x:v>
      </x:c>
    </x:row>
    <x:row r="1252" ht="38" customHeight="1">
      <x:c r="A1252" s="7" t="str">
        <x:v>207867</x:v>
      </x:c>
      <x:c r="B1252" s="12" t="str">
        <x:v>Theatre Arts - Let's Pretend</x:v>
      </x:c>
      <x:c r="C1252" s="12" t="str">
        <x:v>Rosewood Initiative</x:v>
      </x:c>
      <x:c r="D1252" s="12" t="str">
        <x:v>Arts - Theatre, Drama, Acting</x:v>
      </x:c>
      <x:c r="E1252" s="7" t="str">
        <x:v>future</x:v>
      </x:c>
      <x:c r="F1252" s="7" t="str">
        <x:v>2026-10-01</x:v>
      </x:c>
      <x:c r="G1252" s="7" t="str">
        <x:v>2026-12-10</x:v>
      </x:c>
      <x:c r="H1252" s="7" t="n">
        <x:v>3</x:v>
      </x:c>
      <x:c r="I1252" s="7"/>
      <x:c r="J1252" s="7" t="n">
        <x:v>12</x:v>
      </x:c>
      <x:c r="K1252" s="7" t="str">
        <x:v>unverified-denominator</x:v>
      </x:c>
      <x:c r="L1252" s="7" t="d">
        <x:v>2026-09-16T05:12:38.111Z</x:v>
      </x:c>
      <x:c r="M1252" s="7" t="str">
        <x:v>https://apm.activecommunities.com/portlandparks/Activity_Search/theatre-arts---let-s-pretend/207867?locale=en-US</x:v>
      </x:c>
    </x:row>
    <x:row r="1253" ht="38" customHeight="1">
      <x:c r="A1253" s="8" t="str">
        <x:v>208583</x:v>
      </x:c>
      <x:c r="B1253" s="11" t="str">
        <x:v>Theatre Arts - Magic</x:v>
      </x:c>
      <x:c r="C1253" s="11" t="str">
        <x:v>Multnomah Arts Ctr</x:v>
      </x:c>
      <x:c r="D1253" s="11" t="str">
        <x:v>Arts - Theatre, Drama, Acting</x:v>
      </x:c>
      <x:c r="E1253" s="8" t="str">
        <x:v>future</x:v>
      </x:c>
      <x:c r="F1253" s="8" t="str">
        <x:v>2026-10-10</x:v>
      </x:c>
      <x:c r="G1253" s="8" t="str">
        <x:v>2026-11-07</x:v>
      </x:c>
      <x:c r="H1253" s="8" t="n">
        <x:v>12</x:v>
      </x:c>
      <x:c r="I1253" s="8" t="n">
        <x:v>3</x:v>
      </x:c>
      <x:c r="J1253" s="8" t="n">
        <x:v>12</x:v>
      </x:c>
      <x:c r="K1253" s="8" t="str">
        <x:v>unverified-denominator</x:v>
      </x:c>
      <x:c r="L1253" s="8" t="d">
        <x:v>2026-09-16T05:12:38.111Z</x:v>
      </x:c>
      <x:c r="M1253" s="8" t="str">
        <x:v>https://apm.activecommunities.com/portlandparks/Activity_Search/theatre-arts---magic/208583?locale=en-US</x:v>
      </x:c>
    </x:row>
    <x:row r="1254" ht="38" customHeight="1">
      <x:c r="A1254" s="7" t="str">
        <x:v>208581</x:v>
      </x:c>
      <x:c r="B1254" s="12" t="str">
        <x:v>Theatre Arts - Nutcracker Workshop</x:v>
      </x:c>
      <x:c r="C1254" s="12" t="str">
        <x:v>Multnomah Arts Ctr</x:v>
      </x:c>
      <x:c r="D1254" s="12" t="str">
        <x:v>Arts - Theatre, Drama, Acting</x:v>
      </x:c>
      <x:c r="E1254" s="7" t="str">
        <x:v>future</x:v>
      </x:c>
      <x:c r="F1254" s="7" t="str">
        <x:v>2026-12-21</x:v>
      </x:c>
      <x:c r="G1254" s="7" t="str">
        <x:v>2026-12-23</x:v>
      </x:c>
      <x:c r="H1254" s="7" t="n">
        <x:v>0</x:v>
      </x:c>
      <x:c r="I1254" s="7"/>
      <x:c r="J1254" s="7" t="n">
        <x:v>12</x:v>
      </x:c>
      <x:c r="K1254" s="7" t="str">
        <x:v>unverified-denominator</x:v>
      </x:c>
      <x:c r="L1254" s="7" t="d">
        <x:v>2026-09-16T05:12:38.111Z</x:v>
      </x:c>
      <x:c r="M1254" s="7" t="str">
        <x:v>https://apm.activecommunities.com/portlandparks/Activity_Search/theatre-arts---nutcracker-workshop/208581?locale=en-US</x:v>
      </x:c>
    </x:row>
    <x:row r="1255" ht="38" customHeight="1">
      <x:c r="A1255" s="8" t="str">
        <x:v>208582</x:v>
      </x:c>
      <x:c r="B1255" s="11" t="str">
        <x:v>Theatre Arts - Nutcracker Workshop</x:v>
      </x:c>
      <x:c r="C1255" s="11" t="str">
        <x:v>Multnomah Arts Ctr</x:v>
      </x:c>
      <x:c r="D1255" s="11" t="str">
        <x:v>Arts - Theatre, Drama, Acting</x:v>
      </x:c>
      <x:c r="E1255" s="8" t="str">
        <x:v>future</x:v>
      </x:c>
      <x:c r="F1255" s="8" t="str">
        <x:v>2026-12-21</x:v>
      </x:c>
      <x:c r="G1255" s="8" t="str">
        <x:v>2026-12-23</x:v>
      </x:c>
      <x:c r="H1255" s="8" t="n">
        <x:v>0</x:v>
      </x:c>
      <x:c r="I1255" s="8"/>
      <x:c r="J1255" s="8" t="n">
        <x:v>12</x:v>
      </x:c>
      <x:c r="K1255" s="8" t="str">
        <x:v>unverified-denominator</x:v>
      </x:c>
      <x:c r="L1255" s="8" t="d">
        <x:v>2026-09-16T05:12:38.111Z</x:v>
      </x:c>
      <x:c r="M1255" s="8" t="str">
        <x:v>https://apm.activecommunities.com/portlandparks/Activity_Search/theatre-arts---nutcracker-workshop/208582?locale=en-US</x:v>
      </x:c>
    </x:row>
    <x:row r="1256" ht="38" customHeight="1">
      <x:c r="A1256" s="7" t="str">
        <x:v>206437</x:v>
      </x:c>
      <x:c r="B1256" s="12" t="str">
        <x:v>Theatre Arts - Page to Stage: PAN!</x:v>
      </x:c>
      <x:c r="C1256" s="12" t="str">
        <x:v>Multnomah Arts Ctr</x:v>
      </x:c>
      <x:c r="D1256" s="12" t="str">
        <x:v>Arts - Theatre, Drama, Acting</x:v>
      </x:c>
      <x:c r="E1256" s="7" t="str">
        <x:v>active</x:v>
      </x:c>
      <x:c r="F1256" s="7" t="str">
        <x:v>2026-09-15</x:v>
      </x:c>
      <x:c r="G1256" s="7" t="str">
        <x:v>2026-11-24</x:v>
      </x:c>
      <x:c r="H1256" s="7" t="n">
        <x:v>16</x:v>
      </x:c>
      <x:c r="I1256" s="7" t="n">
        <x:v>4</x:v>
      </x:c>
      <x:c r="J1256" s="7" t="n">
        <x:v>16</x:v>
      </x:c>
      <x:c r="K1256" s="7" t="str">
        <x:v>unverified-denominator</x:v>
      </x:c>
      <x:c r="L1256" s="7" t="d">
        <x:v>2026-09-16T05:12:38.111Z</x:v>
      </x:c>
      <x:c r="M1256" s="7" t="str">
        <x:v>https://apm.activecommunities.com/portlandparks/Activity_Search/theatre-arts---page-to-stage-pan/206437?locale=en-US</x:v>
      </x:c>
    </x:row>
    <x:row r="1257" ht="38" customHeight="1">
      <x:c r="A1257" s="8" t="str">
        <x:v>206438</x:v>
      </x:c>
      <x:c r="B1257" s="11" t="str">
        <x:v>Theatre Arts - Page to Stage: PAN!</x:v>
      </x:c>
      <x:c r="C1257" s="11" t="str">
        <x:v>Multnomah Arts Ctr</x:v>
      </x:c>
      <x:c r="D1257" s="11" t="str">
        <x:v>Arts - Theatre, Drama, Acting</x:v>
      </x:c>
      <x:c r="E1257" s="8" t="str">
        <x:v>future</x:v>
      </x:c>
      <x:c r="F1257" s="8" t="str">
        <x:v>2026-09-22</x:v>
      </x:c>
      <x:c r="G1257" s="8" t="str">
        <x:v>2026-12-01</x:v>
      </x:c>
      <x:c r="H1257" s="8" t="n">
        <x:v>15</x:v>
      </x:c>
      <x:c r="I1257" s="8" t="n">
        <x:v>9</x:v>
      </x:c>
      <x:c r="J1257" s="8" t="n">
        <x:v>16</x:v>
      </x:c>
      <x:c r="K1257" s="8" t="str">
        <x:v>unverified-denominator</x:v>
      </x:c>
      <x:c r="L1257" s="8" t="d">
        <x:v>2026-09-16T05:12:38.111Z</x:v>
      </x:c>
      <x:c r="M1257" s="8" t="str">
        <x:v>https://apm.activecommunities.com/portlandparks/Activity_Search/theatre-arts---page-to-stage-pan/206438?locale=en-US</x:v>
      </x:c>
    </x:row>
    <x:row r="1258" ht="38" customHeight="1">
      <x:c r="A1258" s="7" t="str">
        <x:v>208584</x:v>
      </x:c>
      <x:c r="B1258" s="12" t="str">
        <x:v>Theatre Arts - Playground Playwrights</x:v>
      </x:c>
      <x:c r="C1258" s="12" t="str">
        <x:v>Multnomah Arts Ctr</x:v>
      </x:c>
      <x:c r="D1258" s="12" t="str">
        <x:v>Arts - Theatre, Drama, Acting</x:v>
      </x:c>
      <x:c r="E1258" s="7" t="str">
        <x:v>future</x:v>
      </x:c>
      <x:c r="F1258" s="7" t="str">
        <x:v>2026-10-10</x:v>
      </x:c>
      <x:c r="G1258" s="7" t="str">
        <x:v>2026-11-07</x:v>
      </x:c>
      <x:c r="H1258" s="7" t="n">
        <x:v>2</x:v>
      </x:c>
      <x:c r="I1258" s="7"/>
      <x:c r="J1258" s="7" t="n">
        <x:v>12</x:v>
      </x:c>
      <x:c r="K1258" s="7" t="str">
        <x:v>unverified-denominator</x:v>
      </x:c>
      <x:c r="L1258" s="7" t="d">
        <x:v>2026-09-16T05:12:38.111Z</x:v>
      </x:c>
      <x:c r="M1258" s="7" t="str">
        <x:v>https://apm.activecommunities.com/portlandparks/Activity_Search/theatre-arts---playground-playwrights/208584?locale=en-US</x:v>
      </x:c>
    </x:row>
    <x:row r="1259" ht="38" customHeight="1">
      <x:c r="A1259" s="8" t="str">
        <x:v>208603</x:v>
      </x:c>
      <x:c r="B1259" s="11" t="str">
        <x:v>Theatre Arts - Playmakers: Create a Play</x:v>
      </x:c>
      <x:c r="C1259" s="11" t="str">
        <x:v>Multnomah Arts Ctr</x:v>
      </x:c>
      <x:c r="D1259" s="11" t="str">
        <x:v>Arts - Theatre, Drama, Acting</x:v>
      </x:c>
      <x:c r="E1259" s="8" t="str">
        <x:v>future</x:v>
      </x:c>
      <x:c r="F1259" s="8" t="str">
        <x:v>2026-09-29</x:v>
      </x:c>
      <x:c r="G1259" s="8" t="str">
        <x:v>2026-12-01</x:v>
      </x:c>
      <x:c r="H1259" s="8" t="n">
        <x:v>3</x:v>
      </x:c>
      <x:c r="I1259" s="8"/>
      <x:c r="J1259" s="8" t="n">
        <x:v>12</x:v>
      </x:c>
      <x:c r="K1259" s="8" t="str">
        <x:v>unverified-denominator</x:v>
      </x:c>
      <x:c r="L1259" s="8" t="d">
        <x:v>2026-09-16T05:12:38.111Z</x:v>
      </x:c>
      <x:c r="M1259" s="8" t="str">
        <x:v>https://apm.activecommunities.com/portlandparks/Activity_Search/theatre-arts---playmakers-create-a-play/208603?locale=en-US</x:v>
      </x:c>
    </x:row>
    <x:row r="1260" ht="38" customHeight="1">
      <x:c r="A1260" s="7" t="str">
        <x:v>208596</x:v>
      </x:c>
      <x:c r="B1260" s="12" t="str">
        <x:v>Theatre Arts - Readers Theatre for Seniors</x:v>
      </x:c>
      <x:c r="C1260" s="12" t="str">
        <x:v>Multnomah Arts Ctr</x:v>
      </x:c>
      <x:c r="D1260" s="12" t="str">
        <x:v>Arts - Theatre, Drama, Acting</x:v>
      </x:c>
      <x:c r="E1260" s="7" t="str">
        <x:v>future</x:v>
      </x:c>
      <x:c r="F1260" s="7" t="str">
        <x:v>2026-09-29</x:v>
      </x:c>
      <x:c r="G1260" s="7" t="str">
        <x:v>2026-12-01</x:v>
      </x:c>
      <x:c r="H1260" s="7" t="n">
        <x:v>8</x:v>
      </x:c>
      <x:c r="I1260" s="7"/>
      <x:c r="J1260" s="7" t="n">
        <x:v>12</x:v>
      </x:c>
      <x:c r="K1260" s="7" t="str">
        <x:v>unverified-denominator</x:v>
      </x:c>
      <x:c r="L1260" s="7" t="d">
        <x:v>2026-09-16T05:12:38.111Z</x:v>
      </x:c>
      <x:c r="M1260" s="7" t="str">
        <x:v>https://apm.activecommunities.com/portlandparks/Activity_Search/theatre-arts---readers-theatre-for-seniors/208596?locale=en-US</x:v>
      </x:c>
    </x:row>
    <x:row r="1261" ht="38" customHeight="1">
      <x:c r="A1261" s="8" t="str">
        <x:v>201184</x:v>
      </x:c>
      <x:c r="B1261" s="11" t="str">
        <x:v>Theatre Arts - Studio Theatre: Werewolves of London</x:v>
      </x:c>
      <x:c r="C1261" s="11" t="str">
        <x:v>Multnomah Arts Ctr</x:v>
      </x:c>
      <x:c r="D1261" s="11" t="str">
        <x:v>Arts - Theatre, Drama, Acting</x:v>
      </x:c>
      <x:c r="E1261" s="8" t="str">
        <x:v>future</x:v>
      </x:c>
      <x:c r="F1261" s="8" t="str">
        <x:v>2026-09-26</x:v>
      </x:c>
      <x:c r="G1261" s="8" t="str">
        <x:v>2026-11-28</x:v>
      </x:c>
      <x:c r="H1261" s="8" t="n">
        <x:v>22</x:v>
      </x:c>
      <x:c r="I1261" s="8" t="n">
        <x:v>2</x:v>
      </x:c>
      <x:c r="J1261" s="8" t="n">
        <x:v>21</x:v>
      </x:c>
      <x:c r="K1261" s="8" t="str">
        <x:v>unverified-denominator</x:v>
      </x:c>
      <x:c r="L1261" s="8" t="d">
        <x:v>2026-09-16T05:12:38.111Z</x:v>
      </x:c>
      <x:c r="M1261" s="8" t="str">
        <x:v>https://apm.activecommunities.com/portlandparks/Activity_Search/theatre-arts---studio-theatre-werewolves-of-london/201184?locale=en-US</x:v>
      </x:c>
    </x:row>
    <x:row r="1262" ht="38" customHeight="1">
      <x:c r="A1262" s="7" t="str">
        <x:v>208585</x:v>
      </x:c>
      <x:c r="B1262" s="12" t="str">
        <x:v>Theatre Arts - Youth Improv</x:v>
      </x:c>
      <x:c r="C1262" s="12" t="str">
        <x:v>Multnomah Arts Ctr</x:v>
      </x:c>
      <x:c r="D1262" s="12" t="str">
        <x:v>Arts - Theatre, Drama, Acting</x:v>
      </x:c>
      <x:c r="E1262" s="7" t="str">
        <x:v>future</x:v>
      </x:c>
      <x:c r="F1262" s="7" t="str">
        <x:v>2026-09-28</x:v>
      </x:c>
      <x:c r="G1262" s="7" t="str">
        <x:v>2026-12-07</x:v>
      </x:c>
      <x:c r="H1262" s="7" t="n">
        <x:v>1</x:v>
      </x:c>
      <x:c r="I1262" s="7"/>
      <x:c r="J1262" s="7" t="n">
        <x:v>12</x:v>
      </x:c>
      <x:c r="K1262" s="7" t="str">
        <x:v>unverified-denominator</x:v>
      </x:c>
      <x:c r="L1262" s="7" t="d">
        <x:v>2026-09-16T05:12:38.111Z</x:v>
      </x:c>
      <x:c r="M1262" s="7" t="str">
        <x:v>https://apm.activecommunities.com/portlandparks/Activity_Search/theatre-arts---youth-improv/208585?locale=en-US</x:v>
      </x:c>
    </x:row>
    <x:row r="1263" ht="38" customHeight="1">
      <x:c r="A1263" s="8" t="str">
        <x:v>208483</x:v>
      </x:c>
      <x:c r="B1263" s="11" t="str">
        <x:v>Trip -  Afternoon at the Movies</x:v>
      </x:c>
      <x:c r="C1263" s="11" t="str">
        <x:v>East Portland Community Center 740 SE 106th Ave.</x:v>
      </x:c>
      <x:c r="D1263" s="11" t="str">
        <x:v>Adaptive Recreation</x:v>
      </x:c>
      <x:c r="E1263" s="8" t="str">
        <x:v>undated</x:v>
      </x:c>
      <x:c r="F1263" s="8" t="str">
        <x:v>2026-11-20</x:v>
      </x:c>
      <x:c r="G1263" s="8" t="str"/>
      <x:c r="H1263" s="8" t="n">
        <x:v>0</x:v>
      </x:c>
      <x:c r="I1263" s="8"/>
      <x:c r="J1263" s="8" t="n">
        <x:v>10</x:v>
      </x:c>
      <x:c r="K1263" s="8" t="str">
        <x:v>unverified-denominator</x:v>
      </x:c>
      <x:c r="L1263" s="8" t="d">
        <x:v>2026-09-16T05:12:38.111Z</x:v>
      </x:c>
      <x:c r="M1263" s="8" t="str">
        <x:v>https://apm.activecommunities.com/portlandparks/Activity_Search/trip---afternoon-at-the-movies/208483?locale=en-US</x:v>
      </x:c>
    </x:row>
    <x:row r="1264" ht="38" customHeight="1">
      <x:c r="A1264" s="7" t="str">
        <x:v>208474</x:v>
      </x:c>
      <x:c r="B1264" s="12" t="str">
        <x:v>Trip -  Wolfhaven</x:v>
      </x:c>
      <x:c r="C1264" s="12" t="str">
        <x:v>East Portland Community Center</x:v>
      </x:c>
      <x:c r="D1264" s="12" t="str">
        <x:v>Adaptive Recreation</x:v>
      </x:c>
      <x:c r="E1264" s="7" t="str">
        <x:v>undated</x:v>
      </x:c>
      <x:c r="F1264" s="7" t="str">
        <x:v>2026-10-24</x:v>
      </x:c>
      <x:c r="G1264" s="7" t="str"/>
      <x:c r="H1264" s="7" t="n">
        <x:v>10</x:v>
      </x:c>
      <x:c r="I1264" s="7" t="n">
        <x:v>4</x:v>
      </x:c>
      <x:c r="J1264" s="7" t="n">
        <x:v>10</x:v>
      </x:c>
      <x:c r="K1264" s="7" t="str">
        <x:v>unverified-denominator</x:v>
      </x:c>
      <x:c r="L1264" s="7" t="d">
        <x:v>2026-09-16T05:12:38.111Z</x:v>
      </x:c>
      <x:c r="M1264" s="7" t="str">
        <x:v>https://apm.activecommunities.com/portlandparks/Activity_Search/trip---wolfhaven/208474?locale=en-US</x:v>
      </x:c>
    </x:row>
    <x:row r="1265" ht="38" customHeight="1">
      <x:c r="A1265" s="8" t="str">
        <x:v>208476</x:v>
      </x:c>
      <x:c r="B1265" s="11" t="str">
        <x:v>Trip - Albany Carousel Museum</x:v>
      </x:c>
      <x:c r="C1265" s="11" t="str">
        <x:v>East Portland Community Center 740 SE 106th Ave.</x:v>
      </x:c>
      <x:c r="D1265" s="11" t="str">
        <x:v>Adaptive Recreation</x:v>
      </x:c>
      <x:c r="E1265" s="8" t="str">
        <x:v>undated</x:v>
      </x:c>
      <x:c r="F1265" s="8" t="str">
        <x:v>2026-11-14</x:v>
      </x:c>
      <x:c r="G1265" s="8" t="str"/>
      <x:c r="H1265" s="8" t="n">
        <x:v>0</x:v>
      </x:c>
      <x:c r="I1265" s="8"/>
      <x:c r="J1265" s="8" t="n">
        <x:v>10</x:v>
      </x:c>
      <x:c r="K1265" s="8" t="str">
        <x:v>unverified-denominator</x:v>
      </x:c>
      <x:c r="L1265" s="8" t="d">
        <x:v>2026-09-16T05:12:38.111Z</x:v>
      </x:c>
      <x:c r="M1265" s="8" t="str">
        <x:v>https://apm.activecommunities.com/portlandparks/Activity_Search/trip---albany-carousel-museum/208476?locale=en-US</x:v>
      </x:c>
    </x:row>
    <x:row r="1266" ht="38" customHeight="1">
      <x:c r="A1266" s="7" t="str">
        <x:v>208472</x:v>
      </x:c>
      <x:c r="B1266" s="12" t="str">
        <x:v>Trip - Halloween Town - St Helen's</x:v>
      </x:c>
      <x:c r="C1266" s="12" t="str">
        <x:v>East Portland Community Center 740 SE 106th Ave.</x:v>
      </x:c>
      <x:c r="D1266" s="12" t="str">
        <x:v>Adaptive Recreation</x:v>
      </x:c>
      <x:c r="E1266" s="7" t="str">
        <x:v>undated</x:v>
      </x:c>
      <x:c r="F1266" s="7" t="str">
        <x:v>2026-10-17</x:v>
      </x:c>
      <x:c r="G1266" s="7" t="str"/>
      <x:c r="H1266" s="7" t="n">
        <x:v>11</x:v>
      </x:c>
      <x:c r="I1266" s="7" t="n">
        <x:v>17</x:v>
      </x:c>
      <x:c r="J1266" s="7" t="n">
        <x:v>11</x:v>
      </x:c>
      <x:c r="K1266" s="7" t="str">
        <x:v>unverified-denominator</x:v>
      </x:c>
      <x:c r="L1266" s="7" t="d">
        <x:v>2026-09-16T05:12:38.111Z</x:v>
      </x:c>
      <x:c r="M1266" s="7" t="str">
        <x:v>https://apm.activecommunities.com/portlandparks/Activity_Search/trip---halloween-town---st-helen-s/208472?locale=en-US</x:v>
      </x:c>
    </x:row>
    <x:row r="1267" ht="38" customHeight="1">
      <x:c r="A1267" s="8" t="str">
        <x:v>208471</x:v>
      </x:c>
      <x:c r="B1267" s="11" t="str">
        <x:v>Trip - Let's Go Find a Pumpkin</x:v>
      </x:c>
      <x:c r="C1267" s="11" t="str">
        <x:v>Eastportland Community Center 740 SE 106th Ave.</x:v>
      </x:c>
      <x:c r="D1267" s="11" t="str">
        <x:v>Adaptive Recreation</x:v>
      </x:c>
      <x:c r="E1267" s="8" t="str">
        <x:v>undated</x:v>
      </x:c>
      <x:c r="F1267" s="8" t="str">
        <x:v>2026-10-10</x:v>
      </x:c>
      <x:c r="G1267" s="8" t="str"/>
      <x:c r="H1267" s="8" t="n">
        <x:v>10</x:v>
      </x:c>
      <x:c r="I1267" s="8" t="n">
        <x:v>5</x:v>
      </x:c>
      <x:c r="J1267" s="8" t="n">
        <x:v>10</x:v>
      </x:c>
      <x:c r="K1267" s="8" t="str">
        <x:v>unverified-denominator</x:v>
      </x:c>
      <x:c r="L1267" s="8" t="d">
        <x:v>2026-09-16T05:12:38.111Z</x:v>
      </x:c>
      <x:c r="M1267" s="8" t="str">
        <x:v>https://apm.activecommunities.com/portlandparks/Activity_Search/trip---let-s-go-find-a-pumpkin/208471?locale=en-US</x:v>
      </x:c>
    </x:row>
    <x:row r="1268" ht="38" customHeight="1">
      <x:c r="A1268" s="7" t="str">
        <x:v>201186</x:v>
      </x:c>
      <x:c r="B1268" s="12" t="str">
        <x:v>Trip - Lunch at Seaside</x:v>
      </x:c>
      <x:c r="C1268" s="12" t="str">
        <x:v>East Portland Community Center 740 SE 106th Ave.</x:v>
      </x:c>
      <x:c r="D1268" s="12" t="str">
        <x:v>Adaptive Recreation</x:v>
      </x:c>
      <x:c r="E1268" s="7" t="str">
        <x:v>undated</x:v>
      </x:c>
      <x:c r="F1268" s="7" t="str">
        <x:v>2026-09-19</x:v>
      </x:c>
      <x:c r="G1268" s="7" t="str"/>
      <x:c r="H1268" s="7" t="n">
        <x:v>13</x:v>
      </x:c>
      <x:c r="I1268" s="7" t="n">
        <x:v>8</x:v>
      </x:c>
      <x:c r="J1268" s="7" t="n">
        <x:v>10</x:v>
      </x:c>
      <x:c r="K1268" s="7" t="str">
        <x:v>unverified-denominator</x:v>
      </x:c>
      <x:c r="L1268" s="7" t="d">
        <x:v>2026-09-16T05:12:38.111Z</x:v>
      </x:c>
      <x:c r="M1268" s="7" t="str">
        <x:v>https://apm.activecommunities.com/portlandparks/Activity_Search/trip---lunch-at-seaside/201186?locale=en-US</x:v>
      </x:c>
    </x:row>
    <x:row r="1269" ht="38" customHeight="1">
      <x:c r="A1269" s="8" t="str">
        <x:v>208468</x:v>
      </x:c>
      <x:c r="B1269" s="11" t="str">
        <x:v>Trip - Lunch at Seaside</x:v>
      </x:c>
      <x:c r="C1269" s="11" t="str">
        <x:v>East Portland Community Center 740 SE 106th Ave.</x:v>
      </x:c>
      <x:c r="D1269" s="11" t="str">
        <x:v>Adaptive Recreation</x:v>
      </x:c>
      <x:c r="E1269" s="8" t="str">
        <x:v>undated</x:v>
      </x:c>
      <x:c r="F1269" s="8" t="str">
        <x:v>2026-10-30</x:v>
      </x:c>
      <x:c r="G1269" s="8" t="str"/>
      <x:c r="H1269" s="8" t="n">
        <x:v>10</x:v>
      </x:c>
      <x:c r="I1269" s="8" t="n">
        <x:v>12</x:v>
      </x:c>
      <x:c r="J1269" s="8" t="n">
        <x:v>10</x:v>
      </x:c>
      <x:c r="K1269" s="8" t="str">
        <x:v>unverified-denominator</x:v>
      </x:c>
      <x:c r="L1269" s="8" t="d">
        <x:v>2026-09-16T05:12:38.111Z</x:v>
      </x:c>
      <x:c r="M1269" s="8" t="str">
        <x:v>https://apm.activecommunities.com/portlandparks/Activity_Search/trip---lunch-at-seaside/208468?locale=en-US</x:v>
      </x:c>
    </x:row>
    <x:row r="1270" ht="38" customHeight="1">
      <x:c r="A1270" s="7" t="str">
        <x:v>208469</x:v>
      </x:c>
      <x:c r="B1270" s="12" t="str">
        <x:v>Trip - Mt Hood Oktoberfest Train &amp; Lunch</x:v>
      </x:c>
      <x:c r="C1270" s="12" t="str">
        <x:v>East Portland Community Center 740 SE 106th Ave.</x:v>
      </x:c>
      <x:c r="D1270" s="12" t="str">
        <x:v>Adaptive Recreation</x:v>
      </x:c>
      <x:c r="E1270" s="7" t="str">
        <x:v>undated</x:v>
      </x:c>
      <x:c r="F1270" s="7" t="str">
        <x:v>2026-10-03</x:v>
      </x:c>
      <x:c r="G1270" s="7" t="str"/>
      <x:c r="H1270" s="7" t="n">
        <x:v>11</x:v>
      </x:c>
      <x:c r="I1270" s="7" t="n">
        <x:v>2</x:v>
      </x:c>
      <x:c r="J1270" s="7" t="n">
        <x:v>11</x:v>
      </x:c>
      <x:c r="K1270" s="7" t="str">
        <x:v>unverified-denominator</x:v>
      </x:c>
      <x:c r="L1270" s="7" t="d">
        <x:v>2026-09-16T05:12:38.111Z</x:v>
      </x:c>
      <x:c r="M1270" s="7" t="str">
        <x:v>https://apm.activecommunities.com/portlandparks/Activity_Search/trip---mt-hood-oktoberfest-train-lunch/208469?locale=en-US</x:v>
      </x:c>
    </x:row>
    <x:row r="1271" ht="38" customHeight="1">
      <x:c r="A1271" s="8" t="str">
        <x:v>208470</x:v>
      </x:c>
      <x:c r="B1271" s="11" t="str">
        <x:v>Trip - Mt Hood Oktoberfest Train &amp; Lunch #2</x:v>
      </x:c>
      <x:c r="C1271" s="11" t="str">
        <x:v>East Portland Community Center 740 SE 106th Ave.</x:v>
      </x:c>
      <x:c r="D1271" s="11" t="str">
        <x:v>Adaptive Recreation</x:v>
      </x:c>
      <x:c r="E1271" s="8" t="str">
        <x:v>undated</x:v>
      </x:c>
      <x:c r="F1271" s="8" t="str">
        <x:v>2026-10-03</x:v>
      </x:c>
      <x:c r="G1271" s="8" t="str"/>
      <x:c r="H1271" s="8" t="n">
        <x:v>13</x:v>
      </x:c>
      <x:c r="I1271" s="8"/>
      <x:c r="J1271" s="8" t="n">
        <x:v>11</x:v>
      </x:c>
      <x:c r="K1271" s="8" t="str">
        <x:v>unverified-denominator</x:v>
      </x:c>
      <x:c r="L1271" s="8" t="d">
        <x:v>2026-09-16T05:12:38.111Z</x:v>
      </x:c>
      <x:c r="M1271" s="8" t="str">
        <x:v>https://apm.activecommunities.com/portlandparks/Activity_Search/trip---mt-hood-oktoberfest-train-lunch-2/208470?locale=en-US</x:v>
      </x:c>
    </x:row>
    <x:row r="1272" ht="38" customHeight="1">
      <x:c r="A1272" s="7" t="str">
        <x:v>201181</x:v>
      </x:c>
      <x:c r="B1272" s="12" t="str">
        <x:v>Trip - Oaks Park Oktoberfest</x:v>
      </x:c>
      <x:c r="C1272" s="12" t="str">
        <x:v>East Portland Community Center 740 SE 106th Ave.</x:v>
      </x:c>
      <x:c r="D1272" s="12" t="str">
        <x:v>Adaptive Recreation</x:v>
      </x:c>
      <x:c r="E1272" s="7" t="str">
        <x:v>undated</x:v>
      </x:c>
      <x:c r="F1272" s="7" t="str">
        <x:v>2026-09-26</x:v>
      </x:c>
      <x:c r="G1272" s="7" t="str"/>
      <x:c r="H1272" s="7" t="n">
        <x:v>11</x:v>
      </x:c>
      <x:c r="I1272" s="7" t="n">
        <x:v>3</x:v>
      </x:c>
      <x:c r="J1272" s="7" t="n">
        <x:v>10</x:v>
      </x:c>
      <x:c r="K1272" s="7" t="str">
        <x:v>unverified-denominator</x:v>
      </x:c>
      <x:c r="L1272" s="7" t="d">
        <x:v>2026-09-16T05:12:38.111Z</x:v>
      </x:c>
      <x:c r="M1272" s="7" t="str">
        <x:v>https://apm.activecommunities.com/portlandparks/Activity_Search/trip---oaks-park-oktoberfest/201181?locale=en-US</x:v>
      </x:c>
    </x:row>
    <x:row r="1273" ht="38" customHeight="1">
      <x:c r="A1273" s="8" t="str">
        <x:v>208475</x:v>
      </x:c>
      <x:c r="B1273" s="11" t="str">
        <x:v>Trip - Tillamook  Cheese Factory</x:v>
      </x:c>
      <x:c r="C1273" s="11" t="str">
        <x:v>East Portland Community Center</x:v>
      </x:c>
      <x:c r="D1273" s="11" t="str">
        <x:v>Adaptive Recreation</x:v>
      </x:c>
      <x:c r="E1273" s="8" t="str">
        <x:v>undated</x:v>
      </x:c>
      <x:c r="F1273" s="8" t="str">
        <x:v>2026-11-07</x:v>
      </x:c>
      <x:c r="G1273" s="8" t="str"/>
      <x:c r="H1273" s="8" t="n">
        <x:v>0</x:v>
      </x:c>
      <x:c r="I1273" s="8"/>
      <x:c r="J1273" s="8" t="n">
        <x:v>10</x:v>
      </x:c>
      <x:c r="K1273" s="8" t="str">
        <x:v>unverified-denominator</x:v>
      </x:c>
      <x:c r="L1273" s="8" t="d">
        <x:v>2026-09-16T05:12:38.111Z</x:v>
      </x:c>
      <x:c r="M1273" s="8" t="str">
        <x:v>https://apm.activecommunities.com/portlandparks/Activity_Search/trip---tillamook-cheese-factory/208475?locale=en-US</x:v>
      </x:c>
    </x:row>
    <x:row r="1274" ht="38" customHeight="1">
      <x:c r="A1274" s="7" t="str">
        <x:v>208477</x:v>
      </x:c>
      <x:c r="B1274" s="12" t="str">
        <x:v>Trip - Winter Wonderland Lights and Dinner</x:v>
      </x:c>
      <x:c r="C1274" s="12" t="str">
        <x:v>East Portland Community Center 740 SE 106th Ave.</x:v>
      </x:c>
      <x:c r="D1274" s="12" t="str">
        <x:v>Adaptive Recreation</x:v>
      </x:c>
      <x:c r="E1274" s="7" t="str">
        <x:v>undated</x:v>
      </x:c>
      <x:c r="F1274" s="7" t="str">
        <x:v>2026-12-05</x:v>
      </x:c>
      <x:c r="G1274" s="7" t="str"/>
      <x:c r="H1274" s="7" t="n">
        <x:v>0</x:v>
      </x:c>
      <x:c r="I1274" s="7"/>
      <x:c r="J1274" s="7" t="n">
        <x:v>11</x:v>
      </x:c>
      <x:c r="K1274" s="7" t="str">
        <x:v>unverified-denominator</x:v>
      </x:c>
      <x:c r="L1274" s="7" t="d">
        <x:v>2026-09-16T05:12:38.111Z</x:v>
      </x:c>
      <x:c r="M1274" s="7" t="str">
        <x:v>https://apm.activecommunities.com/portlandparks/Activity_Search/trip---winter-wonderland-lights-and-dinner/208477?locale=en-US</x:v>
      </x:c>
    </x:row>
    <x:row r="1275" ht="38" customHeight="1">
      <x:c r="A1275" s="8" t="str">
        <x:v>208478</x:v>
      </x:c>
      <x:c r="B1275" s="11" t="str">
        <x:v>Trip - Winter Wonderland Lights and Dinner</x:v>
      </x:c>
      <x:c r="C1275" s="11" t="str">
        <x:v>East Portland Community Center 740 SE 106th Ave.</x:v>
      </x:c>
      <x:c r="D1275" s="11" t="str">
        <x:v>Adaptive Recreation</x:v>
      </x:c>
      <x:c r="E1275" s="8" t="str">
        <x:v>undated</x:v>
      </x:c>
      <x:c r="F1275" s="8" t="str">
        <x:v>2026-12-12</x:v>
      </x:c>
      <x:c r="G1275" s="8" t="str"/>
      <x:c r="H1275" s="8" t="n">
        <x:v>0</x:v>
      </x:c>
      <x:c r="I1275" s="8"/>
      <x:c r="J1275" s="8" t="n">
        <x:v>11</x:v>
      </x:c>
      <x:c r="K1275" s="8" t="str">
        <x:v>unverified-denominator</x:v>
      </x:c>
      <x:c r="L1275" s="8" t="d">
        <x:v>2026-09-16T05:12:38.111Z</x:v>
      </x:c>
      <x:c r="M1275" s="8" t="str">
        <x:v>https://apm.activecommunities.com/portlandparks/Activity_Search/trip---winter-wonderland-lights-and-dinner/208478?locale=en-US</x:v>
      </x:c>
    </x:row>
    <x:row r="1276" ht="38" customHeight="1">
      <x:c r="A1276" s="7" t="str">
        <x:v>208482</x:v>
      </x:c>
      <x:c r="B1276" s="12" t="str">
        <x:v>Trip - Winterhawks Game and Teddy Bear Toss</x:v>
      </x:c>
      <x:c r="C1276" s="12" t="str">
        <x:v>East Portland Community Center 740 SE 106th Ave.</x:v>
      </x:c>
      <x:c r="D1276" s="12" t="str">
        <x:v>Adaptive Recreation</x:v>
      </x:c>
      <x:c r="E1276" s="7" t="str">
        <x:v>undated</x:v>
      </x:c>
      <x:c r="F1276" s="7" t="str">
        <x:v>2026-12-13</x:v>
      </x:c>
      <x:c r="G1276" s="7" t="str"/>
      <x:c r="H1276" s="7" t="n">
        <x:v>0</x:v>
      </x:c>
      <x:c r="I1276" s="7"/>
      <x:c r="J1276" s="7" t="n">
        <x:v>11</x:v>
      </x:c>
      <x:c r="K1276" s="7" t="str">
        <x:v>unverified-denominator</x:v>
      </x:c>
      <x:c r="L1276" s="7" t="d">
        <x:v>2026-09-16T05:12:38.111Z</x:v>
      </x:c>
      <x:c r="M1276" s="7" t="str">
        <x:v>https://apm.activecommunities.com/portlandparks/Activity_Search/trip---winterhawks-game-and-teddy-bear-toss/208482?locale=en-US</x:v>
      </x:c>
    </x:row>
    <x:row r="1277" ht="38" customHeight="1">
      <x:c r="A1277" s="8" t="str">
        <x:v>208488</x:v>
      </x:c>
      <x:c r="B1277" s="11" t="str">
        <x:v>Van Trip - Afternoon in Astoria</x:v>
      </x:c>
      <x:c r="C1277" s="11" t="str">
        <x:v>East Portland Community Center 740 SE 106th Ave.</x:v>
      </x:c>
      <x:c r="D1277" s="11" t="str">
        <x:v>Trips</x:v>
      </x:c>
      <x:c r="E1277" s="8" t="str">
        <x:v>undated</x:v>
      </x:c>
      <x:c r="F1277" s="8" t="str">
        <x:v>2026-10-16</x:v>
      </x:c>
      <x:c r="G1277" s="8" t="str"/>
      <x:c r="H1277" s="8" t="n">
        <x:v>12</x:v>
      </x:c>
      <x:c r="I1277" s="8" t="n">
        <x:v>5</x:v>
      </x:c>
      <x:c r="J1277" s="8" t="n">
        <x:v>12</x:v>
      </x:c>
      <x:c r="K1277" s="8" t="str">
        <x:v>unverified-denominator</x:v>
      </x:c>
      <x:c r="L1277" s="8" t="d">
        <x:v>2026-09-16T05:12:38.111Z</x:v>
      </x:c>
      <x:c r="M1277" s="8" t="str">
        <x:v>https://apm.activecommunities.com/portlandparks/Activity_Search/van-trip---afternoon-in-astoria/208488?locale=en-US</x:v>
      </x:c>
    </x:row>
    <x:row r="1278" ht="38" customHeight="1">
      <x:c r="A1278" s="7" t="str">
        <x:v>201549</x:v>
      </x:c>
      <x:c r="B1278" s="12" t="str">
        <x:v>Van Trip - Cannon Beach</x:v>
      </x:c>
      <x:c r="C1278" s="12" t="str">
        <x:v>East Portland Community Center 740 SE 106th Ave.</x:v>
      </x:c>
      <x:c r="D1278" s="12" t="str">
        <x:v>Trips</x:v>
      </x:c>
      <x:c r="E1278" s="7" t="str">
        <x:v>undated</x:v>
      </x:c>
      <x:c r="F1278" s="7" t="str">
        <x:v>2026-09-30</x:v>
      </x:c>
      <x:c r="G1278" s="7" t="str"/>
      <x:c r="H1278" s="7" t="n">
        <x:v>11</x:v>
      </x:c>
      <x:c r="I1278" s="7" t="n">
        <x:v>20</x:v>
      </x:c>
      <x:c r="J1278" s="7" t="n">
        <x:v>12</x:v>
      </x:c>
      <x:c r="K1278" s="7" t="str">
        <x:v>unverified-denominator</x:v>
      </x:c>
      <x:c r="L1278" s="7" t="d">
        <x:v>2026-09-16T05:12:38.111Z</x:v>
      </x:c>
      <x:c r="M1278" s="7" t="str">
        <x:v>https://apm.activecommunities.com/portlandparks/Activity_Search/van-trip---cannon-beach/201549?locale=en-US</x:v>
      </x:c>
    </x:row>
    <x:row r="1279" ht="38" customHeight="1">
      <x:c r="A1279" s="8" t="str">
        <x:v>208506</x:v>
      </x:c>
      <x:c r="B1279" s="11" t="str">
        <x:v>Van Trip - Cannon Beach</x:v>
      </x:c>
      <x:c r="C1279" s="11" t="str">
        <x:v>Mt Scott Community Center 5530 SE 72nd Ave.</x:v>
      </x:c>
      <x:c r="D1279" s="11" t="str">
        <x:v>Trips</x:v>
      </x:c>
      <x:c r="E1279" s="8" t="str">
        <x:v>undated</x:v>
      </x:c>
      <x:c r="F1279" s="8" t="str">
        <x:v>2026-11-18</x:v>
      </x:c>
      <x:c r="G1279" s="8" t="str"/>
      <x:c r="H1279" s="8" t="n">
        <x:v>0</x:v>
      </x:c>
      <x:c r="I1279" s="8"/>
      <x:c r="J1279" s="8" t="n">
        <x:v>12</x:v>
      </x:c>
      <x:c r="K1279" s="8" t="str">
        <x:v>unverified-denominator</x:v>
      </x:c>
      <x:c r="L1279" s="8" t="d">
        <x:v>2026-09-16T05:12:38.111Z</x:v>
      </x:c>
      <x:c r="M1279" s="8" t="str">
        <x:v>https://apm.activecommunities.com/portlandparks/Activity_Search/van-trip---cannon-beach/208506?locale=en-US</x:v>
      </x:c>
    </x:row>
    <x:row r="1280" ht="38" customHeight="1">
      <x:c r="A1280" s="7" t="str">
        <x:v>208428</x:v>
      </x:c>
      <x:c r="B1280" s="12" t="str">
        <x:v>Van Trip - Cannon Beach</x:v>
      </x:c>
      <x:c r="C1280" s="12" t="str">
        <x:v>Southwest Community Center 6820 SW 45th Ave.</x:v>
      </x:c>
      <x:c r="D1280" s="12" t="str">
        <x:v>Trips</x:v>
      </x:c>
      <x:c r="E1280" s="7" t="str">
        <x:v>undated</x:v>
      </x:c>
      <x:c r="F1280" s="7" t="str">
        <x:v>2026-10-01</x:v>
      </x:c>
      <x:c r="G1280" s="7" t="str"/>
      <x:c r="H1280" s="7" t="n">
        <x:v>12</x:v>
      </x:c>
      <x:c r="I1280" s="7" t="n">
        <x:v>6</x:v>
      </x:c>
      <x:c r="J1280" s="7" t="n">
        <x:v>12</x:v>
      </x:c>
      <x:c r="K1280" s="7" t="str">
        <x:v>unverified-denominator</x:v>
      </x:c>
      <x:c r="L1280" s="7" t="d">
        <x:v>2026-09-16T05:12:38.111Z</x:v>
      </x:c>
      <x:c r="M1280" s="7" t="str">
        <x:v>https://apm.activecommunities.com/portlandparks/Activity_Search/van-trip---cannon-beach/208428?locale=en-US</x:v>
      </x:c>
    </x:row>
    <x:row r="1281" ht="38" customHeight="1">
      <x:c r="A1281" s="8" t="str">
        <x:v>208501</x:v>
      </x:c>
      <x:c r="B1281" s="11" t="str">
        <x:v>Van Trip - Columbia R. Maritime Museum &amp; Cannery</x:v>
      </x:c>
      <x:c r="C1281" s="11" t="str">
        <x:v>Southwest Community Center 6820 SW 45th Ave.</x:v>
      </x:c>
      <x:c r="D1281" s="11" t="str">
        <x:v>Trips</x:v>
      </x:c>
      <x:c r="E1281" s="8" t="str">
        <x:v>undated</x:v>
      </x:c>
      <x:c r="F1281" s="8" t="str">
        <x:v>2026-11-13</x:v>
      </x:c>
      <x:c r="G1281" s="8" t="str"/>
      <x:c r="H1281" s="8" t="n">
        <x:v>0</x:v>
      </x:c>
      <x:c r="I1281" s="8"/>
      <x:c r="J1281" s="8" t="n">
        <x:v>11</x:v>
      </x:c>
      <x:c r="K1281" s="8" t="str">
        <x:v>unverified-denominator</x:v>
      </x:c>
      <x:c r="L1281" s="8" t="d">
        <x:v>2026-09-16T05:12:38.111Z</x:v>
      </x:c>
      <x:c r="M1281" s="8" t="str">
        <x:v>https://apm.activecommunities.com/portlandparks/Activity_Search/van-trip---columbia-r-maritime-museum-cannery/208501?locale=en-US</x:v>
      </x:c>
    </x:row>
    <x:row r="1282" ht="38" customHeight="1">
      <x:c r="A1282" s="7" t="str">
        <x:v>201559</x:v>
      </x:c>
      <x:c r="B1282" s="12" t="str">
        <x:v>Van Trip - Covered Bridges Tour</x:v>
      </x:c>
      <x:c r="C1282" s="12" t="str">
        <x:v>Charles Jordan Community Center 9009 N Foss Ave.</x:v>
      </x:c>
      <x:c r="D1282" s="12" t="str">
        <x:v>Trips</x:v>
      </x:c>
      <x:c r="E1282" s="7" t="str">
        <x:v>undated</x:v>
      </x:c>
      <x:c r="F1282" s="7" t="str">
        <x:v>2026-09-24</x:v>
      </x:c>
      <x:c r="G1282" s="7" t="str"/>
      <x:c r="H1282" s="7" t="n">
        <x:v>11</x:v>
      </x:c>
      <x:c r="I1282" s="7" t="n">
        <x:v>8</x:v>
      </x:c>
      <x:c r="J1282" s="7" t="n">
        <x:v>12</x:v>
      </x:c>
      <x:c r="K1282" s="7" t="str">
        <x:v>unverified-denominator</x:v>
      </x:c>
      <x:c r="L1282" s="7" t="d">
        <x:v>2026-09-16T05:12:38.111Z</x:v>
      </x:c>
      <x:c r="M1282" s="7" t="str">
        <x:v>https://apm.activecommunities.com/portlandparks/Activity_Search/van-trip---covered-bridges-tour/201559?locale=en-US</x:v>
      </x:c>
    </x:row>
    <x:row r="1283" ht="38" customHeight="1">
      <x:c r="A1283" s="8" t="str">
        <x:v>208491</x:v>
      </x:c>
      <x:c r="B1283" s="11" t="str">
        <x:v>Van Trip - DeepWood Museum and Garden</x:v>
      </x:c>
      <x:c r="C1283" s="11" t="str">
        <x:v>Mt Scott Community Center 5530 SE 72nd Ave.</x:v>
      </x:c>
      <x:c r="D1283" s="11" t="str">
        <x:v>Trips</x:v>
      </x:c>
      <x:c r="E1283" s="8" t="str">
        <x:v>undated</x:v>
      </x:c>
      <x:c r="F1283" s="8" t="str">
        <x:v>2026-10-28</x:v>
      </x:c>
      <x:c r="G1283" s="8" t="str"/>
      <x:c r="H1283" s="8" t="n">
        <x:v>11</x:v>
      </x:c>
      <x:c r="I1283" s="8" t="n">
        <x:v>2</x:v>
      </x:c>
      <x:c r="J1283" s="8" t="n">
        <x:v>12</x:v>
      </x:c>
      <x:c r="K1283" s="8" t="str">
        <x:v>unverified-denominator</x:v>
      </x:c>
      <x:c r="L1283" s="8" t="d">
        <x:v>2026-09-16T05:12:38.111Z</x:v>
      </x:c>
      <x:c r="M1283" s="8" t="str">
        <x:v>https://apm.activecommunities.com/portlandparks/Activity_Search/van-trip---deepwood-museum-and-garden/208491?locale=en-US</x:v>
      </x:c>
    </x:row>
    <x:row r="1284" ht="38" customHeight="1">
      <x:c r="A1284" s="7" t="str">
        <x:v>208467</x:v>
      </x:c>
      <x:c r="B1284" s="12" t="str">
        <x:v>Van Trip - Ft Dalles Museum</x:v>
      </x:c>
      <x:c r="C1284" s="12" t="str">
        <x:v>Southwest Community Center</x:v>
      </x:c>
      <x:c r="D1284" s="12" t="str">
        <x:v>Trips</x:v>
      </x:c>
      <x:c r="E1284" s="7" t="str">
        <x:v>undated</x:v>
      </x:c>
      <x:c r="F1284" s="7" t="str">
        <x:v>2026-10-29</x:v>
      </x:c>
      <x:c r="G1284" s="7" t="str"/>
      <x:c r="H1284" s="7" t="n">
        <x:v>10</x:v>
      </x:c>
      <x:c r="I1284" s="7"/>
      <x:c r="J1284" s="7" t="n">
        <x:v>11</x:v>
      </x:c>
      <x:c r="K1284" s="7" t="str">
        <x:v>unverified-denominator</x:v>
      </x:c>
      <x:c r="L1284" s="7" t="d">
        <x:v>2026-09-16T05:12:38.111Z</x:v>
      </x:c>
      <x:c r="M1284" s="7" t="str">
        <x:v>https://apm.activecommunities.com/portlandparks/Activity_Search/van-trip---ft-dalles-museum/208467?locale=en-US</x:v>
      </x:c>
    </x:row>
    <x:row r="1285" ht="38" customHeight="1">
      <x:c r="A1285" s="8" t="str">
        <x:v>208498</x:v>
      </x:c>
      <x:c r="B1285" s="11" t="str">
        <x:v>Van Trip - Grotto and Dinner</x:v>
      </x:c>
      <x:c r="C1285" s="11" t="str">
        <x:v>Charles Jordan Community Center 9009 N Foss Ave</x:v>
      </x:c>
      <x:c r="D1285" s="11" t="str">
        <x:v>Trips</x:v>
      </x:c>
      <x:c r="E1285" s="8" t="str">
        <x:v>undated</x:v>
      </x:c>
      <x:c r="F1285" s="8" t="str">
        <x:v>2026-12-02</x:v>
      </x:c>
      <x:c r="G1285" s="8" t="str"/>
      <x:c r="H1285" s="8" t="n">
        <x:v>0</x:v>
      </x:c>
      <x:c r="I1285" s="8"/>
      <x:c r="J1285" s="8" t="n">
        <x:v>12</x:v>
      </x:c>
      <x:c r="K1285" s="8" t="str">
        <x:v>unverified-denominator</x:v>
      </x:c>
      <x:c r="L1285" s="8" t="d">
        <x:v>2026-09-16T05:12:38.111Z</x:v>
      </x:c>
      <x:c r="M1285" s="8" t="str">
        <x:v>https://apm.activecommunities.com/portlandparks/Activity_Search/van-trip---grotto-and-dinner/208498?locale=en-US</x:v>
      </x:c>
    </x:row>
    <x:row r="1286" ht="38" customHeight="1">
      <x:c r="A1286" s="7" t="str">
        <x:v>208499</x:v>
      </x:c>
      <x:c r="B1286" s="12" t="str">
        <x:v>Van Trip - Grotto and Dinner</x:v>
      </x:c>
      <x:c r="C1286" s="12" t="str">
        <x:v>East Portland Community Center 740 SE 106th Ave</x:v>
      </x:c>
      <x:c r="D1286" s="12" t="str">
        <x:v>Trips</x:v>
      </x:c>
      <x:c r="E1286" s="7" t="str">
        <x:v>undated</x:v>
      </x:c>
      <x:c r="F1286" s="7" t="str">
        <x:v>2026-12-11</x:v>
      </x:c>
      <x:c r="G1286" s="7" t="str"/>
      <x:c r="H1286" s="7" t="n">
        <x:v>0</x:v>
      </x:c>
      <x:c r="I1286" s="7"/>
      <x:c r="J1286" s="7" t="n">
        <x:v>12</x:v>
      </x:c>
      <x:c r="K1286" s="7" t="str">
        <x:v>unverified-denominator</x:v>
      </x:c>
      <x:c r="L1286" s="7" t="d">
        <x:v>2026-09-16T05:12:38.111Z</x:v>
      </x:c>
      <x:c r="M1286" s="7" t="str">
        <x:v>https://apm.activecommunities.com/portlandparks/Activity_Search/van-trip---grotto-and-dinner/208499?locale=en-US</x:v>
      </x:c>
    </x:row>
    <x:row r="1287" ht="38" customHeight="1">
      <x:c r="A1287" s="8" t="str">
        <x:v>208473</x:v>
      </x:c>
      <x:c r="B1287" s="11" t="str">
        <x:v>Van Trip - Halloween Town - St Helen's</x:v>
      </x:c>
      <x:c r="C1287" s="11" t="str">
        <x:v>Charles Jordan Community Center 9009 N Foss Ave.</x:v>
      </x:c>
      <x:c r="D1287" s="11" t="str">
        <x:v>Trips</x:v>
      </x:c>
      <x:c r="E1287" s="8" t="str">
        <x:v>undated</x:v>
      </x:c>
      <x:c r="F1287" s="8" t="str">
        <x:v>2026-10-14</x:v>
      </x:c>
      <x:c r="G1287" s="8" t="str"/>
      <x:c r="H1287" s="8" t="n">
        <x:v>10</x:v>
      </x:c>
      <x:c r="I1287" s="8"/>
      <x:c r="J1287" s="8" t="n">
        <x:v>11</x:v>
      </x:c>
      <x:c r="K1287" s="8" t="str">
        <x:v>unverified-denominator</x:v>
      </x:c>
      <x:c r="L1287" s="8" t="d">
        <x:v>2026-09-16T05:12:38.111Z</x:v>
      </x:c>
      <x:c r="M1287" s="8" t="str">
        <x:v>https://apm.activecommunities.com/portlandparks/Activity_Search/van-trip---halloween-town---st-helen-s/208473?locale=en-US</x:v>
      </x:c>
    </x:row>
    <x:row r="1288" ht="38" customHeight="1">
      <x:c r="A1288" s="7" t="str">
        <x:v>208489</x:v>
      </x:c>
      <x:c r="B1288" s="12" t="str">
        <x:v>Van Trip - Historic Albany Carousel Museum &amp; Shopping</x:v>
      </x:c>
      <x:c r="C1288" s="12" t="str">
        <x:v>Matt Dishman Community Center 77 NE Knott Ave</x:v>
      </x:c>
      <x:c r="D1288" s="12" t="str">
        <x:v>Trips</x:v>
      </x:c>
      <x:c r="E1288" s="7" t="str">
        <x:v>undated</x:v>
      </x:c>
      <x:c r="F1288" s="7" t="str">
        <x:v>2026-10-21</x:v>
      </x:c>
      <x:c r="G1288" s="7" t="str"/>
      <x:c r="H1288" s="7" t="n">
        <x:v>12</x:v>
      </x:c>
      <x:c r="I1288" s="7"/>
      <x:c r="J1288" s="7" t="n">
        <x:v>12</x:v>
      </x:c>
      <x:c r="K1288" s="7" t="str">
        <x:v>unverified-denominator</x:v>
      </x:c>
      <x:c r="L1288" s="7" t="d">
        <x:v>2026-09-16T05:12:38.111Z</x:v>
      </x:c>
      <x:c r="M1288" s="7" t="str">
        <x:v>https://apm.activecommunities.com/portlandparks/Activity_Search/van-trip---historic-albany-carousel-museum-shopping/208489?locale=en-US</x:v>
      </x:c>
    </x:row>
    <x:row r="1289" ht="38" customHeight="1">
      <x:c r="A1289" s="8" t="str">
        <x:v>208485</x:v>
      </x:c>
      <x:c r="B1289" s="11" t="str">
        <x:v>Van Trip - LL Mt. Hood's Barlow Trail History Tour With Ben</x:v>
      </x:c>
      <x:c r="C1289" s="11" t="str">
        <x:v>East Portland Lobby</x:v>
      </x:c>
      <x:c r="D1289" s="11" t="str">
        <x:v>Trips</x:v>
      </x:c>
      <x:c r="E1289" s="8" t="str">
        <x:v>undated</x:v>
      </x:c>
      <x:c r="F1289" s="8" t="str">
        <x:v>2026-10-07</x:v>
      </x:c>
      <x:c r="G1289" s="8" t="str"/>
      <x:c r="H1289" s="8" t="n">
        <x:v>11</x:v>
      </x:c>
      <x:c r="I1289" s="8" t="n">
        <x:v>17</x:v>
      </x:c>
      <x:c r="J1289" s="8" t="n">
        <x:v>11</x:v>
      </x:c>
      <x:c r="K1289" s="8" t="str">
        <x:v>unverified-denominator</x:v>
      </x:c>
      <x:c r="L1289" s="8" t="d">
        <x:v>2026-09-16T05:12:38.111Z</x:v>
      </x:c>
      <x:c r="M1289" s="8" t="str">
        <x:v>https://apm.activecommunities.com/portlandparks/Activity_Search/van-trip---ll-mt-hood-s-barlow-trail-history-tour-with-ben/208485?locale=en-US</x:v>
      </x:c>
    </x:row>
    <x:row r="1290" ht="38" customHeight="1">
      <x:c r="A1290" s="7" t="str">
        <x:v>208465</x:v>
      </x:c>
      <x:c r="B1290" s="12" t="str">
        <x:v>Van Trip - Lunch at Seaside</x:v>
      </x:c>
      <x:c r="C1290" s="12" t="str">
        <x:v>Charles Jordan Community Center 9009 N Foss Ave.</x:v>
      </x:c>
      <x:c r="D1290" s="12" t="str">
        <x:v>Trips</x:v>
      </x:c>
      <x:c r="E1290" s="7" t="str">
        <x:v>undated</x:v>
      </x:c>
      <x:c r="F1290" s="7" t="str">
        <x:v>2026-10-27</x:v>
      </x:c>
      <x:c r="G1290" s="7" t="str"/>
      <x:c r="H1290" s="7" t="n">
        <x:v>12</x:v>
      </x:c>
      <x:c r="I1290" s="7" t="n">
        <x:v>2</x:v>
      </x:c>
      <x:c r="J1290" s="7" t="n">
        <x:v>12</x:v>
      </x:c>
      <x:c r="K1290" s="7" t="str">
        <x:v>unverified-denominator</x:v>
      </x:c>
      <x:c r="L1290" s="7" t="d">
        <x:v>2026-09-16T05:12:38.111Z</x:v>
      </x:c>
      <x:c r="M1290" s="7" t="str">
        <x:v>https://apm.activecommunities.com/portlandparks/Activity_Search/van-trip---lunch-at-seaside/208465?locale=en-US</x:v>
      </x:c>
    </x:row>
    <x:row r="1291" ht="38" customHeight="1">
      <x:c r="A1291" s="8" t="str">
        <x:v>201884</x:v>
      </x:c>
      <x:c r="B1291" s="11" t="str">
        <x:v>Van Trip - Maryhill Museum and Winery, Stonehenge</x:v>
      </x:c>
      <x:c r="C1291" s="11" t="str">
        <x:v>Matt Dishman 77 NE Knott St.</x:v>
      </x:c>
      <x:c r="D1291" s="11" t="str">
        <x:v>Trips</x:v>
      </x:c>
      <x:c r="E1291" s="8" t="str">
        <x:v>undated</x:v>
      </x:c>
      <x:c r="F1291" s="8" t="str">
        <x:v>2026-09-25</x:v>
      </x:c>
      <x:c r="G1291" s="8" t="str"/>
      <x:c r="H1291" s="8" t="n">
        <x:v>13</x:v>
      </x:c>
      <x:c r="I1291" s="8" t="n">
        <x:v>3</x:v>
      </x:c>
      <x:c r="J1291" s="8" t="n">
        <x:v>12</x:v>
      </x:c>
      <x:c r="K1291" s="8" t="str">
        <x:v>unverified-denominator</x:v>
      </x:c>
      <x:c r="L1291" s="8" t="d">
        <x:v>2026-09-16T05:12:38.111Z</x:v>
      </x:c>
      <x:c r="M1291" s="8" t="str">
        <x:v>https://apm.activecommunities.com/portlandparks/Activity_Search/van-trip---maryhill-museum-and-winery-stonehenge/201884?locale=en-US</x:v>
      </x:c>
    </x:row>
    <x:row r="1292" ht="38" customHeight="1">
      <x:c r="A1292" s="7" t="str">
        <x:v>208493</x:v>
      </x:c>
      <x:c r="B1292" s="12" t="str">
        <x:v>Van Trip - National Neon Sign Museum</x:v>
      </x:c>
      <x:c r="C1292" s="12" t="str">
        <x:v>East Portland Community Center 740 SE 106th Ave.</x:v>
      </x:c>
      <x:c r="D1292" s="12" t="str">
        <x:v>Trips</x:v>
      </x:c>
      <x:c r="E1292" s="7" t="str">
        <x:v>undated</x:v>
      </x:c>
      <x:c r="F1292" s="7" t="str">
        <x:v>2026-11-04</x:v>
      </x:c>
      <x:c r="G1292" s="7" t="str"/>
      <x:c r="H1292" s="7" t="n">
        <x:v>0</x:v>
      </x:c>
      <x:c r="I1292" s="7"/>
      <x:c r="J1292" s="7" t="n">
        <x:v>12</x:v>
      </x:c>
      <x:c r="K1292" s="7" t="str">
        <x:v>unverified-denominator</x:v>
      </x:c>
      <x:c r="L1292" s="7" t="d">
        <x:v>2026-09-16T05:12:38.111Z</x:v>
      </x:c>
      <x:c r="M1292" s="7" t="str">
        <x:v>https://apm.activecommunities.com/portlandparks/Activity_Search/van-trip---national-neon-sign-museum/208493?locale=en-US</x:v>
      </x:c>
    </x:row>
    <x:row r="1293" ht="38" customHeight="1">
      <x:c r="A1293" s="8" t="str">
        <x:v>201773</x:v>
      </x:c>
      <x:c r="B1293" s="11" t="str">
        <x:v>Van Trip - Ole Bolle Troll</x:v>
      </x:c>
      <x:c r="C1293" s="11" t="str">
        <x:v>Mt Scott Community Center 5530 SE 72nd Ave.</x:v>
      </x:c>
      <x:c r="D1293" s="11" t="str">
        <x:v>Trips</x:v>
      </x:c>
      <x:c r="E1293" s="8" t="str">
        <x:v>undated</x:v>
      </x:c>
      <x:c r="F1293" s="8" t="str">
        <x:v>2026-09-23</x:v>
      </x:c>
      <x:c r="G1293" s="8" t="str"/>
      <x:c r="H1293" s="8" t="n">
        <x:v>11</x:v>
      </x:c>
      <x:c r="I1293" s="8"/>
      <x:c r="J1293" s="8" t="n">
        <x:v>12</x:v>
      </x:c>
      <x:c r="K1293" s="8" t="str">
        <x:v>unverified-denominator</x:v>
      </x:c>
      <x:c r="L1293" s="8" t="d">
        <x:v>2026-09-16T05:12:38.111Z</x:v>
      </x:c>
      <x:c r="M1293" s="8" t="str">
        <x:v>https://apm.activecommunities.com/portlandparks/Activity_Search/van-trip---ole-bolle-troll/201773?locale=en-US</x:v>
      </x:c>
    </x:row>
    <x:row r="1294" ht="38" customHeight="1">
      <x:c r="A1294" s="7" t="str">
        <x:v>208490</x:v>
      </x:c>
      <x:c r="B1294" s="12" t="str">
        <x:v>Van Trip - Ridgefield Wildlife Refuge</x:v>
      </x:c>
      <x:c r="C1294" s="12" t="str">
        <x:v>East Portland Community Center</x:v>
      </x:c>
      <x:c r="D1294" s="12" t="str">
        <x:v>Trips</x:v>
      </x:c>
      <x:c r="E1294" s="7" t="str">
        <x:v>undated</x:v>
      </x:c>
      <x:c r="F1294" s="7" t="str">
        <x:v>2026-10-22</x:v>
      </x:c>
      <x:c r="G1294" s="7" t="str"/>
      <x:c r="H1294" s="7" t="n">
        <x:v>12</x:v>
      </x:c>
      <x:c r="I1294" s="7" t="n">
        <x:v>2</x:v>
      </x:c>
      <x:c r="J1294" s="7" t="n">
        <x:v>12</x:v>
      </x:c>
      <x:c r="K1294" s="7" t="str">
        <x:v>unverified-denominator</x:v>
      </x:c>
      <x:c r="L1294" s="7" t="d">
        <x:v>2026-09-16T05:12:38.111Z</x:v>
      </x:c>
      <x:c r="M1294" s="7" t="str">
        <x:v>https://apm.activecommunities.com/portlandparks/Activity_Search/van-trip---ridgefield-wildlife-refuge/208490?locale=en-US</x:v>
      </x:c>
    </x:row>
    <x:row r="1295" ht="38" customHeight="1">
      <x:c r="A1295" s="8" t="str">
        <x:v>201886</x:v>
      </x:c>
      <x:c r="B1295" s="11" t="str">
        <x:v>Van Trip - Seaside Sandfest</x:v>
      </x:c>
      <x:c r="C1295" s="11" t="str">
        <x:v>Southwest Community Center 6820 SW 45th Ave.</x:v>
      </x:c>
      <x:c r="D1295" s="11" t="str">
        <x:v>Trips</x:v>
      </x:c>
      <x:c r="E1295" s="8" t="str">
        <x:v>undated</x:v>
      </x:c>
      <x:c r="F1295" s="8" t="str">
        <x:v>2026-09-18</x:v>
      </x:c>
      <x:c r="G1295" s="8" t="str"/>
      <x:c r="H1295" s="8" t="n">
        <x:v>11</x:v>
      </x:c>
      <x:c r="I1295" s="8" t="n">
        <x:v>5</x:v>
      </x:c>
      <x:c r="J1295" s="8" t="n">
        <x:v>12</x:v>
      </x:c>
      <x:c r="K1295" s="8" t="str">
        <x:v>unverified-denominator</x:v>
      </x:c>
      <x:c r="L1295" s="8" t="d">
        <x:v>2026-09-16T05:12:38.111Z</x:v>
      </x:c>
      <x:c r="M1295" s="8" t="str">
        <x:v>https://apm.activecommunities.com/portlandparks/Activity_Search/van-trip---seaside-sandfest/201886?locale=en-US</x:v>
      </x:c>
    </x:row>
    <x:row r="1296" ht="38" customHeight="1">
      <x:c r="A1296" s="7" t="str">
        <x:v>201887</x:v>
      </x:c>
      <x:c r="B1296" s="12" t="str">
        <x:v>Van Trip - Seaside Sandfest</x:v>
      </x:c>
      <x:c r="C1296" s="12" t="str">
        <x:v>East Portland Community Center 740 SE 106th Ave.</x:v>
      </x:c>
      <x:c r="D1296" s="12" t="str">
        <x:v>Trips</x:v>
      </x:c>
      <x:c r="E1296" s="7" t="str">
        <x:v>undated</x:v>
      </x:c>
      <x:c r="F1296" s="7" t="str">
        <x:v>2026-09-19</x:v>
      </x:c>
      <x:c r="G1296" s="7" t="str"/>
      <x:c r="H1296" s="7" t="n">
        <x:v>13</x:v>
      </x:c>
      <x:c r="I1296" s="7" t="n">
        <x:v>12</x:v>
      </x:c>
      <x:c r="J1296" s="7" t="n">
        <x:v>12</x:v>
      </x:c>
      <x:c r="K1296" s="7" t="str">
        <x:v>unverified-denominator</x:v>
      </x:c>
      <x:c r="L1296" s="7" t="d">
        <x:v>2026-09-16T05:12:38.111Z</x:v>
      </x:c>
      <x:c r="M1296" s="7" t="str">
        <x:v>https://apm.activecommunities.com/portlandparks/Activity_Search/van-trip---seaside-sandfest/201887?locale=en-US</x:v>
      </x:c>
    </x:row>
    <x:row r="1297" ht="38" customHeight="1">
      <x:c r="A1297" s="8" t="str">
        <x:v>208494</x:v>
      </x:c>
      <x:c r="B1297" s="11" t="str">
        <x:v>Van Trip - Sleighbells and Lunch</x:v>
      </x:c>
      <x:c r="C1297" s="11" t="str">
        <x:v>Charles Jordan Community Center 9009 N Foss Ave.</x:v>
      </x:c>
      <x:c r="D1297" s="11" t="str">
        <x:v>Trips</x:v>
      </x:c>
      <x:c r="E1297" s="8" t="str">
        <x:v>undated</x:v>
      </x:c>
      <x:c r="F1297" s="8" t="str">
        <x:v>2026-11-12</x:v>
      </x:c>
      <x:c r="G1297" s="8" t="str"/>
      <x:c r="H1297" s="8" t="n">
        <x:v>0</x:v>
      </x:c>
      <x:c r="I1297" s="8"/>
      <x:c r="J1297" s="8" t="n">
        <x:v>11</x:v>
      </x:c>
      <x:c r="K1297" s="8" t="str">
        <x:v>unverified-denominator</x:v>
      </x:c>
      <x:c r="L1297" s="8" t="d">
        <x:v>2026-09-16T05:12:38.111Z</x:v>
      </x:c>
      <x:c r="M1297" s="8" t="str">
        <x:v>https://apm.activecommunities.com/portlandparks/Activity_Search/van-trip---sleighbells-and-lunch/208494?locale=en-US</x:v>
      </x:c>
    </x:row>
    <x:row r="1298" ht="38" customHeight="1">
      <x:c r="A1298" s="7" t="str">
        <x:v>208495</x:v>
      </x:c>
      <x:c r="B1298" s="12" t="str">
        <x:v>Van Trip - Sleighbells and Lunch</x:v>
      </x:c>
      <x:c r="C1298" s="12" t="str">
        <x:v>Mt Scott Community Center 5530 SE 72nd Ave</x:v>
      </x:c>
      <x:c r="D1298" s="12" t="str">
        <x:v>Trips</x:v>
      </x:c>
      <x:c r="E1298" s="7" t="str">
        <x:v>undated</x:v>
      </x:c>
      <x:c r="F1298" s="7" t="str">
        <x:v>2026-12-09</x:v>
      </x:c>
      <x:c r="G1298" s="7" t="str"/>
      <x:c r="H1298" s="7" t="n">
        <x:v>0</x:v>
      </x:c>
      <x:c r="I1298" s="7"/>
      <x:c r="J1298" s="7" t="n">
        <x:v>12</x:v>
      </x:c>
      <x:c r="K1298" s="7" t="str">
        <x:v>unverified-denominator</x:v>
      </x:c>
      <x:c r="L1298" s="7" t="d">
        <x:v>2026-09-16T05:12:38.111Z</x:v>
      </x:c>
      <x:c r="M1298" s="7" t="str">
        <x:v>https://apm.activecommunities.com/portlandparks/Activity_Search/van-trip---sleighbells-and-lunch/208495?locale=en-US</x:v>
      </x:c>
    </x:row>
    <x:row r="1299" ht="38" customHeight="1">
      <x:c r="A1299" s="8" t="str">
        <x:v>208492</x:v>
      </x:c>
      <x:c r="B1299" s="11" t="str">
        <x:v>Van Trip - Tillamook Cheese Factory and Forestry Center</x:v>
      </x:c>
      <x:c r="C1299" s="11" t="str">
        <x:v>Matt Dishman Community Center 77 NE Knott St.</x:v>
      </x:c>
      <x:c r="D1299" s="11" t="str">
        <x:v>Trips</x:v>
      </x:c>
      <x:c r="E1299" s="8" t="str">
        <x:v>undated</x:v>
      </x:c>
      <x:c r="F1299" s="8" t="str">
        <x:v>2026-11-03</x:v>
      </x:c>
      <x:c r="G1299" s="8" t="str"/>
      <x:c r="H1299" s="8" t="n">
        <x:v>0</x:v>
      </x:c>
      <x:c r="I1299" s="8"/>
      <x:c r="J1299" s="8" t="n">
        <x:v>12</x:v>
      </x:c>
      <x:c r="K1299" s="8" t="str">
        <x:v>unverified-denominator</x:v>
      </x:c>
      <x:c r="L1299" s="8" t="d">
        <x:v>2026-09-16T05:12:38.111Z</x:v>
      </x:c>
      <x:c r="M1299" s="8" t="str">
        <x:v>https://apm.activecommunities.com/portlandparks/Activity_Search/van-trip---tillamook-cheese-factory-and-forestry-center/208492?locale=en-US</x:v>
      </x:c>
    </x:row>
    <x:row r="1300" ht="38" customHeight="1">
      <x:c r="A1300" s="7" t="str">
        <x:v>208504</x:v>
      </x:c>
      <x:c r="B1300" s="12" t="str">
        <x:v>Van Trip -Country Christmas Bazaar</x:v>
      </x:c>
      <x:c r="C1300" s="12" t="str">
        <x:v>East Portland Community Center 740 SE 106th Ave.</x:v>
      </x:c>
      <x:c r="D1300" s="12" t="str">
        <x:v>Trips</x:v>
      </x:c>
      <x:c r="E1300" s="7" t="str">
        <x:v>undated</x:v>
      </x:c>
      <x:c r="F1300" s="7" t="str">
        <x:v>2026-11-10</x:v>
      </x:c>
      <x:c r="G1300" s="7" t="str"/>
      <x:c r="H1300" s="7" t="n">
        <x:v>0</x:v>
      </x:c>
      <x:c r="I1300" s="7"/>
      <x:c r="J1300" s="7" t="n">
        <x:v>12</x:v>
      </x:c>
      <x:c r="K1300" s="7" t="str">
        <x:v>unverified-denominator</x:v>
      </x:c>
      <x:c r="L1300" s="7" t="d">
        <x:v>2026-09-16T05:12:38.111Z</x:v>
      </x:c>
      <x:c r="M1300" s="7" t="str">
        <x:v>https://apm.activecommunities.com/portlandparks/Activity_Search/van-trip--country-christmas-bazaar/208504?locale=en-US</x:v>
      </x:c>
    </x:row>
    <x:row r="1301" ht="38" customHeight="1">
      <x:c r="A1301" s="8" t="str">
        <x:v>208486</x:v>
      </x:c>
      <x:c r="B1301" s="11" t="str">
        <x:v>Van Trip -Packer Orchard Pumpkin Patch</x:v>
      </x:c>
      <x:c r="C1301" s="11" t="str">
        <x:v>Southwest Community Center 6820 SW 45th Ave.</x:v>
      </x:c>
      <x:c r="D1301" s="11" t="str">
        <x:v>Trips</x:v>
      </x:c>
      <x:c r="E1301" s="8" t="str">
        <x:v>undated</x:v>
      </x:c>
      <x:c r="F1301" s="8" t="str">
        <x:v>2026-10-15</x:v>
      </x:c>
      <x:c r="G1301" s="8" t="str"/>
      <x:c r="H1301" s="8" t="n">
        <x:v>5</x:v>
      </x:c>
      <x:c r="I1301" s="8"/>
      <x:c r="J1301" s="8" t="n">
        <x:v>12</x:v>
      </x:c>
      <x:c r="K1301" s="8" t="str">
        <x:v>unverified-denominator</x:v>
      </x:c>
      <x:c r="L1301" s="8" t="d">
        <x:v>2026-09-16T05:12:38.111Z</x:v>
      </x:c>
      <x:c r="M1301" s="8" t="str">
        <x:v>https://apm.activecommunities.com/portlandparks/Activity_Search/van-trip--packer-orchard-pumpkin-patch/208486?locale=en-US</x:v>
      </x:c>
    </x:row>
    <x:row r="1302" ht="38" customHeight="1">
      <x:c r="A1302" s="7" t="str">
        <x:v>208496</x:v>
      </x:c>
      <x:c r="B1302" s="12" t="str">
        <x:v>Van Trip -PIR Safeway Winter Wonderland</x:v>
      </x:c>
      <x:c r="C1302" s="12" t="str">
        <x:v>Southwest Community Center</x:v>
      </x:c>
      <x:c r="D1302" s="12" t="str">
        <x:v>Trips</x:v>
      </x:c>
      <x:c r="E1302" s="7" t="str">
        <x:v>undated</x:v>
      </x:c>
      <x:c r="F1302" s="7" t="str">
        <x:v>2026-12-01</x:v>
      </x:c>
      <x:c r="G1302" s="7" t="str"/>
      <x:c r="H1302" s="7" t="n">
        <x:v>0</x:v>
      </x:c>
      <x:c r="I1302" s="7"/>
      <x:c r="J1302" s="7" t="n">
        <x:v>12</x:v>
      </x:c>
      <x:c r="K1302" s="7" t="str">
        <x:v>unverified-denominator</x:v>
      </x:c>
      <x:c r="L1302" s="7" t="d">
        <x:v>2026-09-16T05:12:38.111Z</x:v>
      </x:c>
      <x:c r="M1302" s="7" t="str">
        <x:v>https://apm.activecommunities.com/portlandparks/Activity_Search/van-trip--pir-safeway-winter-wonderland/208496?locale=en-US</x:v>
      </x:c>
    </x:row>
    <x:row r="1303" ht="38" customHeight="1">
      <x:c r="A1303" s="8" t="str">
        <x:v>208459</x:v>
      </x:c>
      <x:c r="B1303" s="11" t="str">
        <x:v>Van Trip -Wolf Haven</x:v>
      </x:c>
      <x:c r="C1303" s="11" t="str">
        <x:v>East Portland Community Center 740 SE 106th Ave.</x:v>
      </x:c>
      <x:c r="D1303" s="11" t="str">
        <x:v>Trips</x:v>
      </x:c>
      <x:c r="E1303" s="8" t="str">
        <x:v>undated</x:v>
      </x:c>
      <x:c r="F1303" s="8" t="str">
        <x:v>2026-11-19</x:v>
      </x:c>
      <x:c r="G1303" s="8" t="str"/>
      <x:c r="H1303" s="8" t="n">
        <x:v>0</x:v>
      </x:c>
      <x:c r="I1303" s="8"/>
      <x:c r="J1303" s="8" t="n">
        <x:v>12</x:v>
      </x:c>
      <x:c r="K1303" s="8" t="str">
        <x:v>unverified-denominator</x:v>
      </x:c>
      <x:c r="L1303" s="8" t="d">
        <x:v>2026-09-16T05:12:38.111Z</x:v>
      </x:c>
      <x:c r="M1303" s="8" t="str">
        <x:v>https://apm.activecommunities.com/portlandparks/Activity_Search/van-trip--wolf-haven/208459?locale=en-US</x:v>
      </x:c>
    </x:row>
    <x:row r="1304" ht="38" customHeight="1">
      <x:c r="A1304" s="7" t="str">
        <x:v>209167</x:v>
      </x:c>
      <x:c r="B1304" s="12" t="str">
        <x:v>Van Trip – Mt Hood History Tour</x:v>
      </x:c>
      <x:c r="C1304" s="12" t="str">
        <x:v>East Portland Community Center 740 SE 106th Ave.</x:v>
      </x:c>
      <x:c r="D1304" s="12" t="str">
        <x:v>Trips</x:v>
      </x:c>
      <x:c r="E1304" s="7" t="str">
        <x:v>undated</x:v>
      </x:c>
      <x:c r="F1304" s="7" t="str">
        <x:v>2026-09-22</x:v>
      </x:c>
      <x:c r="G1304" s="7" t="str"/>
      <x:c r="H1304" s="7" t="n">
        <x:v>10</x:v>
      </x:c>
      <x:c r="I1304" s="7" t="n">
        <x:v>2</x:v>
      </x:c>
      <x:c r="J1304" s="7" t="n">
        <x:v>12</x:v>
      </x:c>
      <x:c r="K1304" s="7" t="str">
        <x:v>unverified-denominator</x:v>
      </x:c>
      <x:c r="L1304" s="7" t="d">
        <x:v>2026-09-16T05:12:38.111Z</x:v>
      </x:c>
      <x:c r="M1304" s="7" t="str">
        <x:v>https://apm.activecommunities.com/portlandparks/Activity_Search/van-trip-mt-hood-history-tour/209167?locale=en-US</x:v>
      </x:c>
    </x:row>
    <x:row r="1305" ht="38" customHeight="1">
      <x:c r="A1305" s="8" t="str">
        <x:v>208500</x:v>
      </x:c>
      <x:c r="B1305" s="11" t="str">
        <x:v>Van Trip- Goat Yoga</x:v>
      </x:c>
      <x:c r="C1305" s="11" t="str">
        <x:v>Matt Dishman Community Center 77 NE Knott St.</x:v>
      </x:c>
      <x:c r="D1305" s="11" t="str">
        <x:v>Trips</x:v>
      </x:c>
      <x:c r="E1305" s="8" t="str">
        <x:v>undated</x:v>
      </x:c>
      <x:c r="F1305" s="8" t="str">
        <x:v>2026-12-03</x:v>
      </x:c>
      <x:c r="G1305" s="8" t="str"/>
      <x:c r="H1305" s="8" t="n">
        <x:v>0</x:v>
      </x:c>
      <x:c r="I1305" s="8"/>
      <x:c r="J1305" s="8" t="n">
        <x:v>12</x:v>
      </x:c>
      <x:c r="K1305" s="8" t="str">
        <x:v>unverified-denominator</x:v>
      </x:c>
      <x:c r="L1305" s="8" t="d">
        <x:v>2026-09-16T05:12:38.111Z</x:v>
      </x:c>
      <x:c r="M1305" s="8" t="str">
        <x:v>https://apm.activecommunities.com/portlandparks/Activity_Search/van-trip--goat-yoga/208500?locale=en-US</x:v>
      </x:c>
    </x:row>
    <x:row r="1306" ht="38" customHeight="1">
      <x:c r="A1306" s="7" t="str">
        <x:v>208435</x:v>
      </x:c>
      <x:c r="B1306" s="12" t="str">
        <x:v>Van Trip- Hood River Valley Harvest Fest</x:v>
      </x:c>
      <x:c r="C1306" s="12" t="str">
        <x:v>East Portland Community Center 740 SE 106th Ave.</x:v>
      </x:c>
      <x:c r="D1306" s="12" t="str">
        <x:v>Trips</x:v>
      </x:c>
      <x:c r="E1306" s="7" t="str">
        <x:v>undated</x:v>
      </x:c>
      <x:c r="F1306" s="7" t="str">
        <x:v>2026-10-09</x:v>
      </x:c>
      <x:c r="G1306" s="7" t="str"/>
      <x:c r="H1306" s="7" t="n">
        <x:v>12</x:v>
      </x:c>
      <x:c r="I1306" s="7" t="n">
        <x:v>17</x:v>
      </x:c>
      <x:c r="J1306" s="7" t="n">
        <x:v>12</x:v>
      </x:c>
      <x:c r="K1306" s="7" t="str">
        <x:v>unverified-denominator</x:v>
      </x:c>
      <x:c r="L1306" s="7" t="d">
        <x:v>2026-09-16T05:12:38.111Z</x:v>
      </x:c>
      <x:c r="M1306" s="7" t="str">
        <x:v>https://apm.activecommunities.com/portlandparks/Activity_Search/van-trip--hood-river-valley-harvest-fest/208435?locale=en-US</x:v>
      </x:c>
    </x:row>
    <x:row r="1307" ht="38" customHeight="1">
      <x:c r="A1307" s="8" t="str">
        <x:v>208484</x:v>
      </x:c>
      <x:c r="B1307" s="11" t="str">
        <x:v>Van Trip- Mt Hood Oktoberfest Train &amp; Lunch</x:v>
      </x:c>
      <x:c r="C1307" s="11" t="str">
        <x:v>East Portland Community Center 740 SE 106th Ave.</x:v>
      </x:c>
      <x:c r="D1307" s="11" t="str">
        <x:v>Trips</x:v>
      </x:c>
      <x:c r="E1307" s="8" t="str">
        <x:v>undated</x:v>
      </x:c>
      <x:c r="F1307" s="8" t="str">
        <x:v>2026-10-02</x:v>
      </x:c>
      <x:c r="G1307" s="8" t="str"/>
      <x:c r="H1307" s="8" t="n">
        <x:v>12</x:v>
      </x:c>
      <x:c r="I1307" s="8" t="n">
        <x:v>14</x:v>
      </x:c>
      <x:c r="J1307" s="8" t="n">
        <x:v>11</x:v>
      </x:c>
      <x:c r="K1307" s="8" t="str">
        <x:v>unverified-denominator</x:v>
      </x:c>
      <x:c r="L1307" s="8" t="d">
        <x:v>2026-09-16T05:12:38.111Z</x:v>
      </x:c>
      <x:c r="M1307" s="8" t="str">
        <x:v>https://apm.activecommunities.com/portlandparks/Activity_Search/van-trip--mt-hood-oktoberfest-train-lunch/208484?locale=en-US</x:v>
      </x:c>
    </x:row>
    <x:row r="1308" ht="38" customHeight="1">
      <x:c r="A1308" s="7" t="str">
        <x:v>208497</x:v>
      </x:c>
      <x:c r="B1308" s="12" t="str">
        <x:v>Van Trip- PIR Safeway Winter Wonderland</x:v>
      </x:c>
      <x:c r="C1308" s="12" t="str">
        <x:v>East Portland Community Center 740 SE 106th Ave.</x:v>
      </x:c>
      <x:c r="D1308" s="12" t="str">
        <x:v>Trips</x:v>
      </x:c>
      <x:c r="E1308" s="7" t="str">
        <x:v>undated</x:v>
      </x:c>
      <x:c r="F1308" s="7" t="str">
        <x:v>2026-12-10</x:v>
      </x:c>
      <x:c r="G1308" s="7" t="str"/>
      <x:c r="H1308" s="7" t="n">
        <x:v>0</x:v>
      </x:c>
      <x:c r="I1308" s="7"/>
      <x:c r="J1308" s="7" t="n">
        <x:v>12</x:v>
      </x:c>
      <x:c r="K1308" s="7" t="str">
        <x:v>unverified-denominator</x:v>
      </x:c>
      <x:c r="L1308" s="7" t="d">
        <x:v>2026-09-16T05:12:38.111Z</x:v>
      </x:c>
      <x:c r="M1308" s="7" t="str">
        <x:v>https://apm.activecommunities.com/portlandparks/Activity_Search/van-trip--pir-safeway-winter-wonderland/208497?locale=en-US</x:v>
      </x:c>
    </x:row>
    <x:row r="1309" ht="38" customHeight="1">
      <x:c r="A1309" s="8" t="str">
        <x:v>208502</x:v>
      </x:c>
      <x:c r="B1309" s="11" t="str">
        <x:v>Van Trip- Portland Holiday Market</x:v>
      </x:c>
      <x:c r="C1309" s="11" t="str">
        <x:v>Charles Jordan Community Center 9009 N Foss Ave.</x:v>
      </x:c>
      <x:c r="D1309" s="11" t="str">
        <x:v>Trips</x:v>
      </x:c>
      <x:c r="E1309" s="8" t="str">
        <x:v>undated</x:v>
      </x:c>
      <x:c r="F1309" s="8" t="str">
        <x:v>2026-11-06</x:v>
      </x:c>
      <x:c r="G1309" s="8" t="str"/>
      <x:c r="H1309" s="8" t="n">
        <x:v>0</x:v>
      </x:c>
      <x:c r="I1309" s="8"/>
      <x:c r="J1309" s="8" t="n">
        <x:v>12</x:v>
      </x:c>
      <x:c r="K1309" s="8" t="str">
        <x:v>unverified-denominator</x:v>
      </x:c>
      <x:c r="L1309" s="8" t="d">
        <x:v>2026-09-16T05:12:38.111Z</x:v>
      </x:c>
      <x:c r="M1309" s="8" t="str">
        <x:v>https://apm.activecommunities.com/portlandparks/Activity_Search/van-trip--portland-holiday-market/208502?locale=en-US</x:v>
      </x:c>
    </x:row>
    <x:row r="1310" ht="38" customHeight="1">
      <x:c r="A1310" s="7" t="str">
        <x:v>208462</x:v>
      </x:c>
      <x:c r="B1310" s="12" t="str">
        <x:v>Van Trip- West Coast Giant Pumpkin Regatta</x:v>
      </x:c>
      <x:c r="C1310" s="12" t="str">
        <x:v>Charles Jordan Community Center 9009 N Foss Ave.</x:v>
      </x:c>
      <x:c r="D1310" s="12" t="str">
        <x:v>Trips</x:v>
      </x:c>
      <x:c r="E1310" s="7" t="str">
        <x:v>undated</x:v>
      </x:c>
      <x:c r="F1310" s="7" t="str">
        <x:v>2026-10-18</x:v>
      </x:c>
      <x:c r="G1310" s="7" t="str"/>
      <x:c r="H1310" s="7" t="n">
        <x:v>7</x:v>
      </x:c>
      <x:c r="I1310" s="7"/>
      <x:c r="J1310" s="7" t="n">
        <x:v>12</x:v>
      </x:c>
      <x:c r="K1310" s="7" t="str">
        <x:v>unverified-denominator</x:v>
      </x:c>
      <x:c r="L1310" s="7" t="d">
        <x:v>2026-09-16T05:12:38.111Z</x:v>
      </x:c>
      <x:c r="M1310" s="7" t="str">
        <x:v>https://apm.activecommunities.com/portlandparks/Activity_Search/van-trip--west-coast-giant-pumpkin-regatta/208462?locale=en-US</x:v>
      </x:c>
    </x:row>
    <x:row r="1311" ht="38" customHeight="1">
      <x:c r="A1311" s="8" t="str">
        <x:v>208457</x:v>
      </x:c>
      <x:c r="B1311" s="11" t="str">
        <x:v>Van Trip- Wolf Haven</x:v>
      </x:c>
      <x:c r="C1311" s="11" t="str">
        <x:v>Matt Dishman Community Center 77 NE Knott St.</x:v>
      </x:c>
      <x:c r="D1311" s="11" t="str">
        <x:v>Trips</x:v>
      </x:c>
      <x:c r="E1311" s="8" t="str">
        <x:v>undated</x:v>
      </x:c>
      <x:c r="F1311" s="8" t="str">
        <x:v>2026-10-08</x:v>
      </x:c>
      <x:c r="G1311" s="8" t="str"/>
      <x:c r="H1311" s="8" t="n">
        <x:v>12</x:v>
      </x:c>
      <x:c r="I1311" s="8"/>
      <x:c r="J1311" s="8" t="n">
        <x:v>12</x:v>
      </x:c>
      <x:c r="K1311" s="8" t="str">
        <x:v>unverified-denominator</x:v>
      </x:c>
      <x:c r="L1311" s="8" t="d">
        <x:v>2026-09-16T05:12:38.111Z</x:v>
      </x:c>
      <x:c r="M1311" s="8" t="str">
        <x:v>https://apm.activecommunities.com/portlandparks/Activity_Search/van-trip--wolf-haven/208457?locale=en-US</x:v>
      </x:c>
    </x:row>
    <x:row r="1312" ht="38" customHeight="1">
      <x:c r="A1312" s="7" t="str">
        <x:v>201533</x:v>
      </x:c>
      <x:c r="B1312" s="12" t="str">
        <x:v>Virtual Fitness - Chair Yoga</x:v>
      </x:c>
      <x:c r="C1312" s="12" t="str">
        <x:v>Zoom</x:v>
      </x:c>
      <x:c r="D1312" s="12" t="str">
        <x:v>Fitness</x:v>
      </x:c>
      <x:c r="E1312" s="7" t="str">
        <x:v>active</x:v>
      </x:c>
      <x:c r="F1312" s="7" t="str">
        <x:v>2026-09-03</x:v>
      </x:c>
      <x:c r="G1312" s="7" t="str">
        <x:v>2026-09-24</x:v>
      </x:c>
      <x:c r="H1312" s="7" t="n">
        <x:v>4</x:v>
      </x:c>
      <x:c r="I1312" s="7"/>
      <x:c r="J1312" s="7" t="n">
        <x:v>20</x:v>
      </x:c>
      <x:c r="K1312" s="7" t="str">
        <x:v>unverified-denominator</x:v>
      </x:c>
      <x:c r="L1312" s="7" t="d">
        <x:v>2026-09-16T05:12:38.111Z</x:v>
      </x:c>
      <x:c r="M1312" s="7" t="str">
        <x:v>https://apm.activecommunities.com/portlandparks/Activity_Search/virtual-fitness---chair-yoga/201533?locale=en-US</x:v>
      </x:c>
    </x:row>
    <x:row r="1313" ht="38" customHeight="1">
      <x:c r="A1313" s="8" t="str">
        <x:v>207589</x:v>
      </x:c>
      <x:c r="B1313" s="11" t="str">
        <x:v>Virtual Fitness - Chair Yoga</x:v>
      </x:c>
      <x:c r="C1313" s="11" t="str">
        <x:v>Zoom</x:v>
      </x:c>
      <x:c r="D1313" s="11" t="str">
        <x:v>Fitness</x:v>
      </x:c>
      <x:c r="E1313" s="8" t="str">
        <x:v>future</x:v>
      </x:c>
      <x:c r="F1313" s="8" t="str">
        <x:v>2026-10-01</x:v>
      </x:c>
      <x:c r="G1313" s="8" t="str">
        <x:v>2026-12-10</x:v>
      </x:c>
      <x:c r="H1313" s="8" t="n">
        <x:v>4</x:v>
      </x:c>
      <x:c r="I1313" s="8"/>
      <x:c r="J1313" s="8" t="n">
        <x:v>20</x:v>
      </x:c>
      <x:c r="K1313" s="8" t="str">
        <x:v>unverified-denominator</x:v>
      </x:c>
      <x:c r="L1313" s="8" t="d">
        <x:v>2026-09-16T05:12:38.111Z</x:v>
      </x:c>
      <x:c r="M1313" s="8" t="str">
        <x:v>https://apm.activecommunities.com/portlandparks/Activity_Search/virtual-fitness---chair-yoga/207589?locale=en-US</x:v>
      </x:c>
    </x:row>
    <x:row r="1314" ht="38" customHeight="1">
      <x:c r="A1314" s="7" t="str">
        <x:v>207590</x:v>
      </x:c>
      <x:c r="B1314" s="12" t="str">
        <x:v>Virtual Fitness - Gentle Yoga I</x:v>
      </x:c>
      <x:c r="C1314" s="12" t="str">
        <x:v>Zoom</x:v>
      </x:c>
      <x:c r="D1314" s="12" t="str">
        <x:v>Fitness</x:v>
      </x:c>
      <x:c r="E1314" s="7" t="str">
        <x:v>future</x:v>
      </x:c>
      <x:c r="F1314" s="7" t="str">
        <x:v>2026-09-29</x:v>
      </x:c>
      <x:c r="G1314" s="7" t="str">
        <x:v>2026-12-01</x:v>
      </x:c>
      <x:c r="H1314" s="7" t="n">
        <x:v>11</x:v>
      </x:c>
      <x:c r="I1314" s="7"/>
      <x:c r="J1314" s="7" t="n">
        <x:v>20</x:v>
      </x:c>
      <x:c r="K1314" s="7" t="str">
        <x:v>unverified-denominator</x:v>
      </x:c>
      <x:c r="L1314" s="7" t="d">
        <x:v>2026-09-16T05:12:38.111Z</x:v>
      </x:c>
      <x:c r="M1314" s="7" t="str">
        <x:v>https://apm.activecommunities.com/portlandparks/Activity_Search/virtual-fitness---gentle-yoga-i/207590?locale=en-US</x:v>
      </x:c>
    </x:row>
    <x:row r="1315" ht="38" customHeight="1">
      <x:c r="A1315" s="8" t="str">
        <x:v>201535</x:v>
      </x:c>
      <x:c r="B1315" s="11" t="str">
        <x:v>Virtual Fitness - Gentle Yoga I</x:v>
      </x:c>
      <x:c r="C1315" s="11" t="str">
        <x:v>Zoom</x:v>
      </x:c>
      <x:c r="D1315" s="11" t="str">
        <x:v>Fitness</x:v>
      </x:c>
      <x:c r="E1315" s="8" t="str">
        <x:v>active</x:v>
      </x:c>
      <x:c r="F1315" s="8" t="str">
        <x:v>2026-09-01</x:v>
      </x:c>
      <x:c r="G1315" s="8" t="str">
        <x:v>2026-09-22</x:v>
      </x:c>
      <x:c r="H1315" s="8" t="n">
        <x:v>12</x:v>
      </x:c>
      <x:c r="I1315" s="8"/>
      <x:c r="J1315" s="8" t="n">
        <x:v>20</x:v>
      </x:c>
      <x:c r="K1315" s="8" t="str">
        <x:v>unverified-denominator</x:v>
      </x:c>
      <x:c r="L1315" s="8" t="d">
        <x:v>2026-09-16T05:12:38.111Z</x:v>
      </x:c>
      <x:c r="M1315" s="8" t="str">
        <x:v>https://apm.activecommunities.com/portlandparks/Activity_Search/virtual-fitness---gentle-yoga-i/201535?locale=en-US</x:v>
      </x:c>
    </x:row>
    <x:row r="1316" ht="38" customHeight="1">
      <x:c r="A1316" s="7" t="str">
        <x:v>201540</x:v>
      </x:c>
      <x:c r="B1316" s="12" t="str">
        <x:v>Virtual Fitness - Gentle Yoga II</x:v>
      </x:c>
      <x:c r="C1316" s="12" t="str">
        <x:v>Zoom</x:v>
      </x:c>
      <x:c r="D1316" s="12" t="str">
        <x:v>Fitness</x:v>
      </x:c>
      <x:c r="E1316" s="7" t="str">
        <x:v>active</x:v>
      </x:c>
      <x:c r="F1316" s="7" t="str">
        <x:v>2026-09-01</x:v>
      </x:c>
      <x:c r="G1316" s="7" t="str">
        <x:v>2026-09-22</x:v>
      </x:c>
      <x:c r="H1316" s="7" t="n">
        <x:v>9</x:v>
      </x:c>
      <x:c r="I1316" s="7"/>
      <x:c r="J1316" s="7" t="n">
        <x:v>20</x:v>
      </x:c>
      <x:c r="K1316" s="7" t="str">
        <x:v>unverified-denominator</x:v>
      </x:c>
      <x:c r="L1316" s="7" t="d">
        <x:v>2026-09-16T05:12:38.111Z</x:v>
      </x:c>
      <x:c r="M1316" s="7" t="str">
        <x:v>https://apm.activecommunities.com/portlandparks/Activity_Search/virtual-fitness---gentle-yoga-ii/201540?locale=en-US</x:v>
      </x:c>
    </x:row>
    <x:row r="1317" ht="38" customHeight="1">
      <x:c r="A1317" s="8" t="str">
        <x:v>207591</x:v>
      </x:c>
      <x:c r="B1317" s="11" t="str">
        <x:v>Virtual Fitness - Gentle Yoga II</x:v>
      </x:c>
      <x:c r="C1317" s="11" t="str">
        <x:v>Zoom</x:v>
      </x:c>
      <x:c r="D1317" s="11" t="str">
        <x:v>Fitness</x:v>
      </x:c>
      <x:c r="E1317" s="8" t="str">
        <x:v>future</x:v>
      </x:c>
      <x:c r="F1317" s="8" t="str">
        <x:v>2026-09-29</x:v>
      </x:c>
      <x:c r="G1317" s="8" t="str">
        <x:v>2026-12-01</x:v>
      </x:c>
      <x:c r="H1317" s="8" t="n">
        <x:v>4</x:v>
      </x:c>
      <x:c r="I1317" s="8"/>
      <x:c r="J1317" s="8" t="n">
        <x:v>20</x:v>
      </x:c>
      <x:c r="K1317" s="8" t="str">
        <x:v>unverified-denominator</x:v>
      </x:c>
      <x:c r="L1317" s="8" t="d">
        <x:v>2026-09-16T05:12:38.111Z</x:v>
      </x:c>
      <x:c r="M1317" s="8" t="str">
        <x:v>https://apm.activecommunities.com/portlandparks/Activity_Search/virtual-fitness---gentle-yoga-ii/207591?locale=en-US</x:v>
      </x:c>
    </x:row>
    <x:row r="1318" ht="38" customHeight="1">
      <x:c r="A1318" s="7" t="str">
        <x:v>207592</x:v>
      </x:c>
      <x:c r="B1318" s="12" t="str">
        <x:v>Virtual Fitness - Qigong</x:v>
      </x:c>
      <x:c r="C1318" s="12" t="str">
        <x:v>Zoom</x:v>
      </x:c>
      <x:c r="D1318" s="12" t="str">
        <x:v>Fitness</x:v>
      </x:c>
      <x:c r="E1318" s="7" t="str">
        <x:v>future</x:v>
      </x:c>
      <x:c r="F1318" s="7" t="str">
        <x:v>2026-09-28</x:v>
      </x:c>
      <x:c r="G1318" s="7" t="str">
        <x:v>2026-12-07</x:v>
      </x:c>
      <x:c r="H1318" s="7" t="n">
        <x:v>6</x:v>
      </x:c>
      <x:c r="I1318" s="7"/>
      <x:c r="J1318" s="7" t="n">
        <x:v>20</x:v>
      </x:c>
      <x:c r="K1318" s="7" t="str">
        <x:v>unverified-denominator</x:v>
      </x:c>
      <x:c r="L1318" s="7" t="d">
        <x:v>2026-09-16T05:12:38.111Z</x:v>
      </x:c>
      <x:c r="M1318" s="7" t="str">
        <x:v>https://apm.activecommunities.com/portlandparks/Activity_Search/virtual-fitness---qigong/207592?locale=en-US</x:v>
      </x:c>
    </x:row>
    <x:row r="1319" ht="38" customHeight="1">
      <x:c r="A1319" s="8" t="str">
        <x:v>201531</x:v>
      </x:c>
      <x:c r="B1319" s="11" t="str">
        <x:v>Virtual Fitness - Qigong</x:v>
      </x:c>
      <x:c r="C1319" s="11" t="str">
        <x:v>Zoom</x:v>
      </x:c>
      <x:c r="D1319" s="11" t="str">
        <x:v>Fitness</x:v>
      </x:c>
      <x:c r="E1319" s="8" t="str">
        <x:v>active</x:v>
      </x:c>
      <x:c r="F1319" s="8" t="str">
        <x:v>2026-08-31</x:v>
      </x:c>
      <x:c r="G1319" s="8" t="str">
        <x:v>2026-09-21</x:v>
      </x:c>
      <x:c r="H1319" s="8" t="n">
        <x:v>10</x:v>
      </x:c>
      <x:c r="I1319" s="8"/>
      <x:c r="J1319" s="8" t="n">
        <x:v>20</x:v>
      </x:c>
      <x:c r="K1319" s="8" t="str">
        <x:v>unverified-denominator</x:v>
      </x:c>
      <x:c r="L1319" s="8" t="d">
        <x:v>2026-09-16T05:12:38.111Z</x:v>
      </x:c>
      <x:c r="M1319" s="8" t="str">
        <x:v>https://apm.activecommunities.com/portlandparks/Activity_Search/virtual-fitness---qigong/201531?locale=en-US</x:v>
      </x:c>
    </x:row>
    <x:row r="1320" ht="38" customHeight="1">
      <x:c r="A1320" s="7" t="str">
        <x:v>201528</x:v>
      </x:c>
      <x:c r="B1320" s="12" t="str">
        <x:v>Virtual Fitness - Zumba Gold</x:v>
      </x:c>
      <x:c r="C1320" s="12" t="str">
        <x:v>Zoom</x:v>
      </x:c>
      <x:c r="D1320" s="12" t="str">
        <x:v>Fitness</x:v>
      </x:c>
      <x:c r="E1320" s="7" t="str">
        <x:v>active</x:v>
      </x:c>
      <x:c r="F1320" s="7" t="str">
        <x:v>2026-09-01</x:v>
      </x:c>
      <x:c r="G1320" s="7" t="str">
        <x:v>2026-09-22</x:v>
      </x:c>
      <x:c r="H1320" s="7" t="n">
        <x:v>15</x:v>
      </x:c>
      <x:c r="I1320" s="7"/>
      <x:c r="J1320" s="7" t="n">
        <x:v>20</x:v>
      </x:c>
      <x:c r="K1320" s="7" t="str">
        <x:v>unverified-denominator</x:v>
      </x:c>
      <x:c r="L1320" s="7" t="d">
        <x:v>2026-09-16T05:12:38.111Z</x:v>
      </x:c>
      <x:c r="M1320" s="7" t="str">
        <x:v>https://apm.activecommunities.com/portlandparks/Activity_Search/virtual-fitness---zumba-gold/201528?locale=en-US</x:v>
      </x:c>
    </x:row>
    <x:row r="1321" ht="38" customHeight="1">
      <x:c r="A1321" s="8" t="str">
        <x:v>201529</x:v>
      </x:c>
      <x:c r="B1321" s="11" t="str">
        <x:v>Virtual Fitness - Zumba Gold</x:v>
      </x:c>
      <x:c r="C1321" s="11" t="str">
        <x:v>Zoom</x:v>
      </x:c>
      <x:c r="D1321" s="11" t="str">
        <x:v>Fitness</x:v>
      </x:c>
      <x:c r="E1321" s="8" t="str">
        <x:v>active</x:v>
      </x:c>
      <x:c r="F1321" s="8" t="str">
        <x:v>2026-09-03</x:v>
      </x:c>
      <x:c r="G1321" s="8" t="str">
        <x:v>2026-09-24</x:v>
      </x:c>
      <x:c r="H1321" s="8" t="n">
        <x:v>15</x:v>
      </x:c>
      <x:c r="I1321" s="8"/>
      <x:c r="J1321" s="8" t="n">
        <x:v>20</x:v>
      </x:c>
      <x:c r="K1321" s="8" t="str">
        <x:v>unverified-denominator</x:v>
      </x:c>
      <x:c r="L1321" s="8" t="d">
        <x:v>2026-09-16T05:12:38.111Z</x:v>
      </x:c>
      <x:c r="M1321" s="8" t="str">
        <x:v>https://apm.activecommunities.com/portlandparks/Activity_Search/virtual-fitness---zumba-gold/201529?locale=en-US</x:v>
      </x:c>
    </x:row>
    <x:row r="1322" ht="38" customHeight="1">
      <x:c r="A1322" s="7" t="str">
        <x:v>207593</x:v>
      </x:c>
      <x:c r="B1322" s="12" t="str">
        <x:v>Virtual Fitness - Zumba Gold</x:v>
      </x:c>
      <x:c r="C1322" s="12" t="str">
        <x:v>Zoom</x:v>
      </x:c>
      <x:c r="D1322" s="12" t="str">
        <x:v>Fitness</x:v>
      </x:c>
      <x:c r="E1322" s="7" t="str">
        <x:v>future</x:v>
      </x:c>
      <x:c r="F1322" s="7" t="str">
        <x:v>2026-09-29</x:v>
      </x:c>
      <x:c r="G1322" s="7" t="str">
        <x:v>2026-12-01</x:v>
      </x:c>
      <x:c r="H1322" s="7" t="n">
        <x:v>6</x:v>
      </x:c>
      <x:c r="I1322" s="7"/>
      <x:c r="J1322" s="7" t="n">
        <x:v>20</x:v>
      </x:c>
      <x:c r="K1322" s="7" t="str">
        <x:v>unverified-denominator</x:v>
      </x:c>
      <x:c r="L1322" s="7" t="d">
        <x:v>2026-09-16T05:12:38.111Z</x:v>
      </x:c>
      <x:c r="M1322" s="7" t="str">
        <x:v>https://apm.activecommunities.com/portlandparks/Activity_Search/virtual-fitness---zumba-gold/207593?locale=en-US</x:v>
      </x:c>
    </x:row>
    <x:row r="1323" ht="38" customHeight="1">
      <x:c r="A1323" s="8" t="str">
        <x:v>207594</x:v>
      </x:c>
      <x:c r="B1323" s="11" t="str">
        <x:v>Virtual Fitness - Zumba Gold</x:v>
      </x:c>
      <x:c r="C1323" s="11" t="str">
        <x:v>Zoom</x:v>
      </x:c>
      <x:c r="D1323" s="11" t="str">
        <x:v>Fitness</x:v>
      </x:c>
      <x:c r="E1323" s="8" t="str">
        <x:v>future</x:v>
      </x:c>
      <x:c r="F1323" s="8" t="str">
        <x:v>2026-10-01</x:v>
      </x:c>
      <x:c r="G1323" s="8" t="str">
        <x:v>2026-12-10</x:v>
      </x:c>
      <x:c r="H1323" s="8" t="n">
        <x:v>7</x:v>
      </x:c>
      <x:c r="I1323" s="8"/>
      <x:c r="J1323" s="8" t="n">
        <x:v>20</x:v>
      </x:c>
      <x:c r="K1323" s="8" t="str">
        <x:v>unverified-denominator</x:v>
      </x:c>
      <x:c r="L1323" s="8" t="d">
        <x:v>2026-09-16T05:12:38.111Z</x:v>
      </x:c>
      <x:c r="M1323" s="8" t="str">
        <x:v>https://apm.activecommunities.com/portlandparks/Activity_Search/virtual-fitness---zumba-gold/207594?locale=en-US</x:v>
      </x:c>
    </x:row>
    <x:row r="1324" ht="38" customHeight="1">
      <x:c r="A1324" s="7" t="str">
        <x:v>208526</x:v>
      </x:c>
      <x:c r="B1324" s="12" t="str">
        <x:v>Visual Arts - Smartphone Photography 101:Basics</x:v>
      </x:c>
      <x:c r="C1324" s="12" t="str">
        <x:v>Southwest Cmty Ctr</x:v>
      </x:c>
      <x:c r="D1324" s="12" t="str">
        <x:v>Arts</x:v>
      </x:c>
      <x:c r="E1324" s="7" t="str">
        <x:v>undated</x:v>
      </x:c>
      <x:c r="F1324" s="7" t="str">
        <x:v>2026-09-30</x:v>
      </x:c>
      <x:c r="G1324" s="7" t="str"/>
      <x:c r="H1324" s="7" t="n">
        <x:v>3</x:v>
      </x:c>
      <x:c r="I1324" s="7"/>
      <x:c r="J1324" s="7" t="n">
        <x:v>15</x:v>
      </x:c>
      <x:c r="K1324" s="7" t="str">
        <x:v>unverified-denominator</x:v>
      </x:c>
      <x:c r="L1324" s="7" t="d">
        <x:v>2026-09-16T05:12:38.111Z</x:v>
      </x:c>
      <x:c r="M1324" s="7" t="str">
        <x:v>https://apm.activecommunities.com/portlandparks/Activity_Search/visual-arts---smartphone-photography-101-basics/208526?locale=en-US</x:v>
      </x:c>
    </x:row>
    <x:row r="1325" ht="38" customHeight="1">
      <x:c r="A1325" s="8" t="str">
        <x:v>208533</x:v>
      </x:c>
      <x:c r="B1325" s="11" t="str">
        <x:v>Visual Arts - Smartphone Photography 102: Capture</x:v>
      </x:c>
      <x:c r="C1325" s="11" t="str">
        <x:v>Southwest Cmty Ctr</x:v>
      </x:c>
      <x:c r="D1325" s="11" t="str">
        <x:v>Arts</x:v>
      </x:c>
      <x:c r="E1325" s="8" t="str">
        <x:v>undated</x:v>
      </x:c>
      <x:c r="F1325" s="8" t="str">
        <x:v>2026-10-07</x:v>
      </x:c>
      <x:c r="G1325" s="8" t="str"/>
      <x:c r="H1325" s="8" t="n">
        <x:v>1</x:v>
      </x:c>
      <x:c r="I1325" s="8"/>
      <x:c r="J1325" s="8" t="n">
        <x:v>15</x:v>
      </x:c>
      <x:c r="K1325" s="8" t="str">
        <x:v>unverified-denominator</x:v>
      </x:c>
      <x:c r="L1325" s="8" t="d">
        <x:v>2026-09-16T05:12:38.111Z</x:v>
      </x:c>
      <x:c r="M1325" s="8" t="str">
        <x:v>https://apm.activecommunities.com/portlandparks/Activity_Search/visual-arts---smartphone-photography-102-capture/208533?locale=en-US</x:v>
      </x:c>
    </x:row>
    <x:row r="1326" ht="38" customHeight="1">
      <x:c r="A1326" s="7" t="str">
        <x:v>208534</x:v>
      </x:c>
      <x:c r="B1326" s="12" t="str">
        <x:v>Visual Arts - Smartphone Photography 103: Create</x:v>
      </x:c>
      <x:c r="C1326" s="12" t="str">
        <x:v>Southwest Cmty Ctr</x:v>
      </x:c>
      <x:c r="D1326" s="12" t="str">
        <x:v>Arts</x:v>
      </x:c>
      <x:c r="E1326" s="7" t="str">
        <x:v>undated</x:v>
      </x:c>
      <x:c r="F1326" s="7" t="str">
        <x:v>2026-10-21</x:v>
      </x:c>
      <x:c r="G1326" s="7" t="str"/>
      <x:c r="H1326" s="7" t="n">
        <x:v>1</x:v>
      </x:c>
      <x:c r="I1326" s="7"/>
      <x:c r="J1326" s="7" t="n">
        <x:v>15</x:v>
      </x:c>
      <x:c r="K1326" s="7" t="str">
        <x:v>unverified-denominator</x:v>
      </x:c>
      <x:c r="L1326" s="7" t="d">
        <x:v>2026-09-16T05:12:38.111Z</x:v>
      </x:c>
      <x:c r="M1326" s="7" t="str">
        <x:v>https://apm.activecommunities.com/portlandparks/Activity_Search/visual-arts---smartphone-photography-103-create/208534?locale=en-US</x:v>
      </x:c>
    </x:row>
    <x:row r="1327" ht="38" customHeight="1">
      <x:c r="A1327" s="8" t="str">
        <x:v>208535</x:v>
      </x:c>
      <x:c r="B1327" s="11" t="str">
        <x:v>Visual Arts - Smartphone Photography 104: Share</x:v>
      </x:c>
      <x:c r="C1327" s="11" t="str">
        <x:v>Southwest Cmty Ctr</x:v>
      </x:c>
      <x:c r="D1327" s="11" t="str">
        <x:v>Arts</x:v>
      </x:c>
      <x:c r="E1327" s="8" t="str">
        <x:v>undated</x:v>
      </x:c>
      <x:c r="F1327" s="8" t="str">
        <x:v>2026-10-28</x:v>
      </x:c>
      <x:c r="G1327" s="8" t="str"/>
      <x:c r="H1327" s="8" t="n">
        <x:v>0</x:v>
      </x:c>
      <x:c r="I1327" s="8"/>
      <x:c r="J1327" s="8" t="n">
        <x:v>15</x:v>
      </x:c>
      <x:c r="K1327" s="8" t="str">
        <x:v>unverified-denominator</x:v>
      </x:c>
      <x:c r="L1327" s="8" t="d">
        <x:v>2026-09-16T05:12:38.111Z</x:v>
      </x:c>
      <x:c r="M1327" s="8" t="str">
        <x:v>https://apm.activecommunities.com/portlandparks/Activity_Search/visual-arts---smartphone-photography-104-share/208535?locale=en-US</x:v>
      </x:c>
    </x:row>
    <x:row r="1328" ht="38" customHeight="1">
      <x:c r="A1328" s="7" t="str">
        <x:v>205692</x:v>
      </x:c>
      <x:c r="B1328" s="12" t="str">
        <x:v>Water Fitness Instructor Training</x:v>
      </x:c>
      <x:c r="C1328" s="12" t="str">
        <x:v>N/A</x:v>
      </x:c>
      <x:c r="D1328" s="12" t="str">
        <x:v>Aquatics - Training</x:v>
      </x:c>
      <x:c r="E1328" s="7" t="str">
        <x:v>future</x:v>
      </x:c>
      <x:c r="F1328" s="7" t="str">
        <x:v>2026-11-05</x:v>
      </x:c>
      <x:c r="G1328" s="7" t="str">
        <x:v>2026-11-19</x:v>
      </x:c>
      <x:c r="H1328" s="7" t="n">
        <x:v>11</x:v>
      </x:c>
      <x:c r="I1328" s="7"/>
      <x:c r="J1328" s="7" t="n">
        <x:v>30</x:v>
      </x:c>
      <x:c r="K1328" s="7" t="str">
        <x:v>unverified-denominator</x:v>
      </x:c>
      <x:c r="L1328" s="7" t="d">
        <x:v>2026-09-16T05:12:38.111Z</x:v>
      </x:c>
      <x:c r="M1328" s="7" t="str">
        <x:v>https://apm.activecommunities.com/portlandparks/Activity_Search/water-fitness-instructor-training/205692?locale=en-US</x:v>
      </x:c>
    </x:row>
    <x:row r="1329" ht="38" customHeight="1">
      <x:c r="A1329" s="8" t="str">
        <x:v>204700</x:v>
      </x:c>
      <x:c r="B1329" s="11" t="str">
        <x:v>Watercolor - All Levels</x:v>
      </x:c>
      <x:c r="C1329" s="11" t="str">
        <x:v>Woodstock Cmty Ctr</x:v>
      </x:c>
      <x:c r="D1329" s="11" t="str">
        <x:v>Arts &amp; Crafts - Painting</x:v>
      </x:c>
      <x:c r="E1329" s="8" t="str">
        <x:v>active</x:v>
      </x:c>
      <x:c r="F1329" s="8" t="str">
        <x:v>2026-09-03</x:v>
      </x:c>
      <x:c r="G1329" s="8" t="str">
        <x:v>2026-09-24</x:v>
      </x:c>
      <x:c r="H1329" s="8" t="n">
        <x:v>8</x:v>
      </x:c>
      <x:c r="I1329" s="8"/>
      <x:c r="J1329" s="8" t="n">
        <x:v>10</x:v>
      </x:c>
      <x:c r="K1329" s="8" t="str">
        <x:v>unverified-denominator</x:v>
      </x:c>
      <x:c r="L1329" s="8" t="d">
        <x:v>2026-09-16T05:12:38.111Z</x:v>
      </x:c>
      <x:c r="M1329" s="8" t="str">
        <x:v>https://apm.activecommunities.com/portlandparks/Activity_Search/watercolor---all-levels/204700?locale=en-US</x:v>
      </x:c>
    </x:row>
    <x:row r="1330" ht="38" customHeight="1">
      <x:c r="A1330" s="7" t="str">
        <x:v>207920</x:v>
      </x:c>
      <x:c r="B1330" s="12" t="str">
        <x:v>Watercolor - All Levels</x:v>
      </x:c>
      <x:c r="C1330" s="12" t="str">
        <x:v>Woodstock Cmty Ctr</x:v>
      </x:c>
      <x:c r="D1330" s="12" t="str">
        <x:v>Arts &amp; Crafts - Painting</x:v>
      </x:c>
      <x:c r="E1330" s="7" t="str">
        <x:v>future</x:v>
      </x:c>
      <x:c r="F1330" s="7" t="str">
        <x:v>2026-11-12</x:v>
      </x:c>
      <x:c r="G1330" s="7" t="str">
        <x:v>2026-12-10</x:v>
      </x:c>
      <x:c r="H1330" s="7" t="n">
        <x:v>0</x:v>
      </x:c>
      <x:c r="I1330" s="7"/>
      <x:c r="J1330" s="7" t="n">
        <x:v>10</x:v>
      </x:c>
      <x:c r="K1330" s="7" t="str">
        <x:v>unverified-denominator</x:v>
      </x:c>
      <x:c r="L1330" s="7" t="d">
        <x:v>2026-09-16T05:12:38.111Z</x:v>
      </x:c>
      <x:c r="M1330" s="7" t="str">
        <x:v>https://apm.activecommunities.com/portlandparks/Activity_Search/watercolor---all-levels/207920?locale=en-US</x:v>
      </x:c>
    </x:row>
    <x:row r="1331" ht="38" customHeight="1">
      <x:c r="A1331" s="8" t="str">
        <x:v>207683</x:v>
      </x:c>
      <x:c r="B1331" s="11" t="str">
        <x:v>Watercolor - All Levels</x:v>
      </x:c>
      <x:c r="C1331" s="11" t="str">
        <x:v>Woodstock Cmty Ctr</x:v>
      </x:c>
      <x:c r="D1331" s="11" t="str">
        <x:v>Arts &amp; Crafts - Painting</x:v>
      </x:c>
      <x:c r="E1331" s="8" t="str">
        <x:v>future</x:v>
      </x:c>
      <x:c r="F1331" s="8" t="str">
        <x:v>2026-10-01</x:v>
      </x:c>
      <x:c r="G1331" s="8" t="str">
        <x:v>2026-10-29</x:v>
      </x:c>
      <x:c r="H1331" s="8" t="n">
        <x:v>5</x:v>
      </x:c>
      <x:c r="I1331" s="8"/>
      <x:c r="J1331" s="8" t="n">
        <x:v>10</x:v>
      </x:c>
      <x:c r="K1331" s="8" t="str">
        <x:v>unverified-denominator</x:v>
      </x:c>
      <x:c r="L1331" s="8" t="d">
        <x:v>2026-09-16T05:12:38.111Z</x:v>
      </x:c>
      <x:c r="M1331" s="8" t="str">
        <x:v>https://apm.activecommunities.com/portlandparks/Activity_Search/watercolor---all-levels/207683?locale=en-US</x:v>
      </x:c>
    </x:row>
    <x:row r="1332" ht="38" customHeight="1">
      <x:c r="A1332" s="7" t="str">
        <x:v>207557</x:v>
      </x:c>
      <x:c r="B1332" s="12" t="str">
        <x:v>Woodturning - Intermediate Studio</x:v>
      </x:c>
      <x:c r="C1332" s="12" t="str">
        <x:v>Multnomah Arts Ctr</x:v>
      </x:c>
      <x:c r="D1332" s="12" t="str">
        <x:v>Arts &amp; Crafts - Glass/Photo/Print &amp; Wood</x:v>
      </x:c>
      <x:c r="E1332" s="7" t="str">
        <x:v>undated</x:v>
      </x:c>
      <x:c r="F1332" s="7" t="str">
        <x:v>2026-12-12</x:v>
      </x:c>
      <x:c r="G1332" s="7" t="str"/>
      <x:c r="H1332" s="7" t="n">
        <x:v>0</x:v>
      </x:c>
      <x:c r="I1332" s="7"/>
      <x:c r="J1332" s="7" t="n">
        <x:v>5</x:v>
      </x:c>
      <x:c r="K1332" s="7" t="str">
        <x:v>unverified-denominator</x:v>
      </x:c>
      <x:c r="L1332" s="7" t="d">
        <x:v>2026-09-16T05:12:38.111Z</x:v>
      </x:c>
      <x:c r="M1332" s="7" t="str">
        <x:v>https://apm.activecommunities.com/portlandparks/Activity_Search/woodturning---intermediate-studio/207557?locale=en-US</x:v>
      </x:c>
    </x:row>
    <x:row r="1333" ht="38" customHeight="1">
      <x:c r="A1333" s="8" t="str">
        <x:v>207558</x:v>
      </x:c>
      <x:c r="B1333" s="11" t="str">
        <x:v>Woodturning - Intermediate Studio</x:v>
      </x:c>
      <x:c r="C1333" s="11" t="str">
        <x:v>Multnomah Arts Ctr</x:v>
      </x:c>
      <x:c r="D1333" s="11" t="str">
        <x:v>Arts &amp; Crafts - Glass/Photo/Print &amp; Wood</x:v>
      </x:c>
      <x:c r="E1333" s="8" t="str">
        <x:v>future</x:v>
      </x:c>
      <x:c r="F1333" s="8" t="str">
        <x:v>2026-11-02</x:v>
      </x:c>
      <x:c r="G1333" s="8" t="str">
        <x:v>2026-11-04</x:v>
      </x:c>
      <x:c r="H1333" s="8" t="n">
        <x:v>0</x:v>
      </x:c>
      <x:c r="I1333" s="8"/>
      <x:c r="J1333" s="8" t="n">
        <x:v>5</x:v>
      </x:c>
      <x:c r="K1333" s="8" t="str">
        <x:v>unverified-denominator</x:v>
      </x:c>
      <x:c r="L1333" s="8" t="d">
        <x:v>2026-09-16T05:12:38.111Z</x:v>
      </x:c>
      <x:c r="M1333" s="8" t="str">
        <x:v>https://apm.activecommunities.com/portlandparks/Activity_Search/woodturning---intermediate-studio/207558?locale=en-US</x:v>
      </x:c>
    </x:row>
    <x:row r="1334" ht="38" customHeight="1">
      <x:c r="A1334" s="7" t="str">
        <x:v>208224</x:v>
      </x:c>
      <x:c r="B1334" s="12" t="str">
        <x:v>Woodturning - Intermediate: Friction-Lidded Box</x:v>
      </x:c>
      <x:c r="C1334" s="12" t="str">
        <x:v>Multnomah Arts Ctr</x:v>
      </x:c>
      <x:c r="D1334" s="12" t="str">
        <x:v>Arts &amp; Crafts - Glass/Photo/Print &amp; Wood</x:v>
      </x:c>
      <x:c r="E1334" s="7" t="str">
        <x:v>future</x:v>
      </x:c>
      <x:c r="F1334" s="7" t="str">
        <x:v>2026-11-30</x:v>
      </x:c>
      <x:c r="G1334" s="7" t="str">
        <x:v>2026-12-02</x:v>
      </x:c>
      <x:c r="H1334" s="7" t="n">
        <x:v>0</x:v>
      </x:c>
      <x:c r="I1334" s="7"/>
      <x:c r="J1334" s="7" t="n">
        <x:v>5</x:v>
      </x:c>
      <x:c r="K1334" s="7" t="str">
        <x:v>unverified-denominator</x:v>
      </x:c>
      <x:c r="L1334" s="7" t="d">
        <x:v>2026-09-16T05:12:38.111Z</x:v>
      </x:c>
      <x:c r="M1334" s="7" t="str">
        <x:v>https://apm.activecommunities.com/portlandparks/Activity_Search/woodturning---intermediate-friction-lidded-box/208224?locale=en-US</x:v>
      </x:c>
    </x:row>
    <x:row r="1335" ht="38" customHeight="1">
      <x:c r="A1335" s="8" t="str">
        <x:v>208206</x:v>
      </x:c>
      <x:c r="B1335" s="11" t="str">
        <x:v>Woodturning - Intermediate: Inside-Out Ornaments &amp; Baubles</x:v>
      </x:c>
      <x:c r="C1335" s="11" t="str">
        <x:v>Multnomah Arts Ctr</x:v>
      </x:c>
      <x:c r="D1335" s="11" t="str">
        <x:v>Arts &amp; Crafts - Glass/Photo/Print &amp; Wood</x:v>
      </x:c>
      <x:c r="E1335" s="8" t="str">
        <x:v>future</x:v>
      </x:c>
      <x:c r="F1335" s="8" t="str">
        <x:v>2026-12-07</x:v>
      </x:c>
      <x:c r="G1335" s="8" t="str">
        <x:v>2026-12-09</x:v>
      </x:c>
      <x:c r="H1335" s="8" t="n">
        <x:v>0</x:v>
      </x:c>
      <x:c r="I1335" s="8"/>
      <x:c r="J1335" s="8" t="n">
        <x:v>5</x:v>
      </x:c>
      <x:c r="K1335" s="8" t="str">
        <x:v>unverified-denominator</x:v>
      </x:c>
      <x:c r="L1335" s="8" t="d">
        <x:v>2026-09-16T05:12:38.111Z</x:v>
      </x:c>
      <x:c r="M1335" s="8" t="str">
        <x:v>https://apm.activecommunities.com/portlandparks/Activity_Search/woodturning---intermediate-inside-out-ornaments-baubles/208206?locale=en-US</x:v>
      </x:c>
    </x:row>
    <x:row r="1336" ht="38" customHeight="1">
      <x:c r="A1336" s="7" t="str">
        <x:v>208225</x:v>
      </x:c>
      <x:c r="B1336" s="12" t="str">
        <x:v>Woodturning - Intermediate: Square Dish</x:v>
      </x:c>
      <x:c r="C1336" s="12" t="str">
        <x:v>Multnomah Arts Ctr</x:v>
      </x:c>
      <x:c r="D1336" s="12" t="str">
        <x:v>Arts &amp; Crafts - Glass/Photo/Print &amp; Wood</x:v>
      </x:c>
      <x:c r="E1336" s="7" t="str">
        <x:v>undated</x:v>
      </x:c>
      <x:c r="F1336" s="7" t="str">
        <x:v>2026-11-21</x:v>
      </x:c>
      <x:c r="G1336" s="7" t="str"/>
      <x:c r="H1336" s="7" t="n">
        <x:v>0</x:v>
      </x:c>
      <x:c r="I1336" s="7"/>
      <x:c r="J1336" s="7" t="n">
        <x:v>5</x:v>
      </x:c>
      <x:c r="K1336" s="7" t="str">
        <x:v>unverified-denominator</x:v>
      </x:c>
      <x:c r="L1336" s="7" t="d">
        <x:v>2026-09-16T05:12:38.111Z</x:v>
      </x:c>
      <x:c r="M1336" s="7" t="str">
        <x:v>https://apm.activecommunities.com/portlandparks/Activity_Search/woodturning---intermediate-square-dish/208225?locale=en-US</x:v>
      </x:c>
    </x:row>
    <x:row r="1337" ht="38" customHeight="1">
      <x:c r="A1337" s="8" t="str">
        <x:v>207562</x:v>
      </x:c>
      <x:c r="B1337" s="11" t="str">
        <x:v>Woodturning for Beginners - Basic Bowl Turning</x:v>
      </x:c>
      <x:c r="C1337" s="11" t="str">
        <x:v>Multnomah Arts Ctr</x:v>
      </x:c>
      <x:c r="D1337" s="11" t="str">
        <x:v>Arts &amp; Crafts - Glass/Photo/Print &amp; Wood</x:v>
      </x:c>
      <x:c r="E1337" s="8" t="str">
        <x:v>undated</x:v>
      </x:c>
      <x:c r="F1337" s="8" t="str">
        <x:v>2026-11-14</x:v>
      </x:c>
      <x:c r="G1337" s="8" t="str"/>
      <x:c r="H1337" s="8" t="n">
        <x:v>0</x:v>
      </x:c>
      <x:c r="I1337" s="8"/>
      <x:c r="J1337" s="8" t="n">
        <x:v>5</x:v>
      </x:c>
      <x:c r="K1337" s="8" t="str">
        <x:v>unverified-denominator</x:v>
      </x:c>
      <x:c r="L1337" s="8" t="d">
        <x:v>2026-09-16T05:12:38.111Z</x:v>
      </x:c>
      <x:c r="M1337" s="8" t="str">
        <x:v>https://apm.activecommunities.com/portlandparks/Activity_Search/woodturning-for-beginners---basic-bowl-turning/207562?locale=en-US</x:v>
      </x:c>
    </x:row>
    <x:row r="1338" ht="38" customHeight="1">
      <x:c r="A1338" s="7" t="str">
        <x:v>207563</x:v>
      </x:c>
      <x:c r="B1338" s="12" t="str">
        <x:v>Woodturning for Beginners - Basic Bowl Turning</x:v>
      </x:c>
      <x:c r="C1338" s="12" t="str">
        <x:v>Multnomah Arts Ctr</x:v>
      </x:c>
      <x:c r="D1338" s="12" t="str">
        <x:v>Arts &amp; Crafts - Glass/Photo/Print &amp; Wood</x:v>
      </x:c>
      <x:c r="E1338" s="7" t="str">
        <x:v>future</x:v>
      </x:c>
      <x:c r="F1338" s="7" t="str">
        <x:v>2026-10-05</x:v>
      </x:c>
      <x:c r="G1338" s="7" t="str">
        <x:v>2026-10-07</x:v>
      </x:c>
      <x:c r="H1338" s="7" t="n">
        <x:v>5</x:v>
      </x:c>
      <x:c r="I1338" s="7" t="n">
        <x:v>6</x:v>
      </x:c>
      <x:c r="J1338" s="7" t="n">
        <x:v>5</x:v>
      </x:c>
      <x:c r="K1338" s="7" t="str">
        <x:v>unverified-denominator</x:v>
      </x:c>
      <x:c r="L1338" s="7" t="d">
        <x:v>2026-09-16T05:12:38.111Z</x:v>
      </x:c>
      <x:c r="M1338" s="7" t="str">
        <x:v>https://apm.activecommunities.com/portlandparks/Activity_Search/woodturning-for-beginners---basic-bowl-turning/207563?locale=en-US</x:v>
      </x:c>
    </x:row>
    <x:row r="1339" ht="38" customHeight="1">
      <x:c r="A1339" s="8" t="str">
        <x:v>207564</x:v>
      </x:c>
      <x:c r="B1339" s="11" t="str">
        <x:v>Woodturning for Beginners - Basic Bowl Turning</x:v>
      </x:c>
      <x:c r="C1339" s="11" t="str">
        <x:v>Multnomah Arts Ctr</x:v>
      </x:c>
      <x:c r="D1339" s="11" t="str">
        <x:v>Arts &amp; Crafts - Glass/Photo/Print &amp; Wood</x:v>
      </x:c>
      <x:c r="E1339" s="8" t="str">
        <x:v>future</x:v>
      </x:c>
      <x:c r="F1339" s="8" t="str">
        <x:v>2026-11-16</x:v>
      </x:c>
      <x:c r="G1339" s="8" t="str">
        <x:v>2026-11-18</x:v>
      </x:c>
      <x:c r="H1339" s="8" t="n">
        <x:v>0</x:v>
      </x:c>
      <x:c r="I1339" s="8"/>
      <x:c r="J1339" s="8" t="n">
        <x:v>5</x:v>
      </x:c>
      <x:c r="K1339" s="8" t="str">
        <x:v>unverified-denominator</x:v>
      </x:c>
      <x:c r="L1339" s="8" t="d">
        <x:v>2026-09-16T05:12:38.111Z</x:v>
      </x:c>
      <x:c r="M1339" s="8" t="str">
        <x:v>https://apm.activecommunities.com/portlandparks/Activity_Search/woodturning-for-beginners---basic-bowl-turning/207564?locale=en-US</x:v>
      </x:c>
    </x:row>
    <x:row r="1340" ht="38" customHeight="1">
      <x:c r="A1340" s="7" t="str">
        <x:v>207565</x:v>
      </x:c>
      <x:c r="B1340" s="12" t="str">
        <x:v>Woodturning for Beginners - Basic Spindle Turning</x:v>
      </x:c>
      <x:c r="C1340" s="12" t="str">
        <x:v>Multnomah Arts Ctr</x:v>
      </x:c>
      <x:c r="D1340" s="12" t="str">
        <x:v>Arts &amp; Crafts - Glass/Photo/Print &amp; Wood</x:v>
      </x:c>
      <x:c r="E1340" s="7" t="str">
        <x:v>undated</x:v>
      </x:c>
      <x:c r="F1340" s="7" t="str">
        <x:v>2026-10-10</x:v>
      </x:c>
      <x:c r="G1340" s="7" t="str"/>
      <x:c r="H1340" s="7" t="n">
        <x:v>5</x:v>
      </x:c>
      <x:c r="I1340" s="7"/>
      <x:c r="J1340" s="7" t="n">
        <x:v>5</x:v>
      </x:c>
      <x:c r="K1340" s="7" t="str">
        <x:v>unverified-denominator</x:v>
      </x:c>
      <x:c r="L1340" s="7" t="d">
        <x:v>2026-09-16T05:12:38.111Z</x:v>
      </x:c>
      <x:c r="M1340" s="7" t="str">
        <x:v>https://apm.activecommunities.com/portlandparks/Activity_Search/woodturning-for-beginners---basic-spindle-turning/207565?locale=en-US</x:v>
      </x:c>
    </x:row>
    <x:row r="1341" ht="38" customHeight="1">
      <x:c r="A1341" s="8" t="str">
        <x:v>207566</x:v>
      </x:c>
      <x:c r="B1341" s="11" t="str">
        <x:v>Woodturning for Beginners - Basic Spindle Turning</x:v>
      </x:c>
      <x:c r="C1341" s="11" t="str">
        <x:v>Multnomah Arts Ctr</x:v>
      </x:c>
      <x:c r="D1341" s="11" t="str">
        <x:v>Arts &amp; Crafts - Glass/Photo/Print &amp; Wood</x:v>
      </x:c>
      <x:c r="E1341" s="8" t="str">
        <x:v>future</x:v>
      </x:c>
      <x:c r="F1341" s="8" t="str">
        <x:v>2026-09-28</x:v>
      </x:c>
      <x:c r="G1341" s="8" t="str">
        <x:v>2026-09-30</x:v>
      </x:c>
      <x:c r="H1341" s="8" t="n">
        <x:v>5</x:v>
      </x:c>
      <x:c r="I1341" s="8" t="n">
        <x:v>1</x:v>
      </x:c>
      <x:c r="J1341" s="8" t="n">
        <x:v>5</x:v>
      </x:c>
      <x:c r="K1341" s="8" t="str">
        <x:v>unverified-denominator</x:v>
      </x:c>
      <x:c r="L1341" s="8" t="d">
        <x:v>2026-09-16T05:12:38.111Z</x:v>
      </x:c>
      <x:c r="M1341" s="8" t="str">
        <x:v>https://apm.activecommunities.com/portlandparks/Activity_Search/woodturning-for-beginners---basic-spindle-turning/207566?locale=en-US</x:v>
      </x:c>
    </x:row>
    <x:row r="1342" ht="38" customHeight="1">
      <x:c r="A1342" s="7" t="str">
        <x:v>208237</x:v>
      </x:c>
      <x:c r="B1342" s="12" t="str">
        <x:v>Woodturning for Beginners - Basic Spindle Turning</x:v>
      </x:c>
      <x:c r="C1342" s="12" t="str">
        <x:v>Multnomah Arts Ctr</x:v>
      </x:c>
      <x:c r="D1342" s="12" t="str">
        <x:v>Arts &amp; Crafts - Glass/Photo/Print &amp; Wood</x:v>
      </x:c>
      <x:c r="E1342" s="7" t="str">
        <x:v>future</x:v>
      </x:c>
      <x:c r="F1342" s="7" t="str">
        <x:v>2026-10-19</x:v>
      </x:c>
      <x:c r="G1342" s="7" t="str">
        <x:v>2026-10-21</x:v>
      </x:c>
      <x:c r="H1342" s="7" t="n">
        <x:v>5</x:v>
      </x:c>
      <x:c r="I1342" s="7"/>
      <x:c r="J1342" s="7" t="n">
        <x:v>5</x:v>
      </x:c>
      <x:c r="K1342" s="7" t="str">
        <x:v>unverified-denominator</x:v>
      </x:c>
      <x:c r="L1342" s="7" t="d">
        <x:v>2026-09-16T05:12:38.111Z</x:v>
      </x:c>
      <x:c r="M1342" s="7" t="str">
        <x:v>https://apm.activecommunities.com/portlandparks/Activity_Search/woodturning-for-beginners---basic-spindle-turning/208237?locale=en-US</x:v>
      </x:c>
    </x:row>
    <x:row r="1343" ht="38" customHeight="1">
      <x:c r="A1343" s="8" t="str">
        <x:v>207567</x:v>
      </x:c>
      <x:c r="B1343" s="11" t="str">
        <x:v>Woodworking - Build a Small Storage Bench</x:v>
      </x:c>
      <x:c r="C1343" s="11" t="str">
        <x:v>Multnomah Arts Ctr</x:v>
      </x:c>
      <x:c r="D1343" s="11" t="str">
        <x:v>Arts &amp; Crafts - Glass/Photo/Print &amp; Wood</x:v>
      </x:c>
      <x:c r="E1343" s="8" t="str">
        <x:v>future</x:v>
      </x:c>
      <x:c r="F1343" s="8" t="str">
        <x:v>2026-10-27</x:v>
      </x:c>
      <x:c r="G1343" s="8" t="str">
        <x:v>2026-12-01</x:v>
      </x:c>
      <x:c r="H1343" s="8" t="n">
        <x:v>5</x:v>
      </x:c>
      <x:c r="I1343" s="8"/>
      <x:c r="J1343" s="8" t="n">
        <x:v>5</x:v>
      </x:c>
      <x:c r="K1343" s="8" t="str">
        <x:v>unverified-denominator</x:v>
      </x:c>
      <x:c r="L1343" s="8" t="d">
        <x:v>2026-09-16T05:12:38.111Z</x:v>
      </x:c>
      <x:c r="M1343" s="8" t="str">
        <x:v>https://apm.activecommunities.com/portlandparks/Activity_Search/woodworking---build-a-small-storage-bench/207567?locale=en-US</x:v>
      </x:c>
    </x:row>
    <x:row r="1344" ht="38" customHeight="1">
      <x:c r="A1344" s="7" t="str">
        <x:v>207568</x:v>
      </x:c>
      <x:c r="B1344" s="12" t="str">
        <x:v>Woodworking - Hand Tool Basics</x:v>
      </x:c>
      <x:c r="C1344" s="12" t="str">
        <x:v>Multnomah Arts Ctr</x:v>
      </x:c>
      <x:c r="D1344" s="12" t="str">
        <x:v>Arts &amp; Crafts - Glass/Photo/Print &amp; Wood</x:v>
      </x:c>
      <x:c r="E1344" s="7" t="str">
        <x:v>future</x:v>
      </x:c>
      <x:c r="F1344" s="7" t="str">
        <x:v>2026-10-24</x:v>
      </x:c>
      <x:c r="G1344" s="7" t="str">
        <x:v>2026-10-31</x:v>
      </x:c>
      <x:c r="H1344" s="7" t="n">
        <x:v>6</x:v>
      </x:c>
      <x:c r="I1344" s="7"/>
      <x:c r="J1344" s="7" t="n">
        <x:v>6</x:v>
      </x:c>
      <x:c r="K1344" s="7" t="str">
        <x:v>unverified-denominator</x:v>
      </x:c>
      <x:c r="L1344" s="7" t="d">
        <x:v>2026-09-16T05:12:38.111Z</x:v>
      </x:c>
      <x:c r="M1344" s="7" t="str">
        <x:v>https://apm.activecommunities.com/portlandparks/Activity_Search/woodworking---hand-tool-basics/207568?locale=en-US</x:v>
      </x:c>
    </x:row>
    <x:row r="1345" ht="38" customHeight="1">
      <x:c r="A1345" s="8" t="str">
        <x:v>207569</x:v>
      </x:c>
      <x:c r="B1345" s="11" t="str">
        <x:v>Woodworking - Hand Tool Basics</x:v>
      </x:c>
      <x:c r="C1345" s="11" t="str">
        <x:v>Multnomah Arts Ctr</x:v>
      </x:c>
      <x:c r="D1345" s="11" t="str">
        <x:v>Arts &amp; Crafts - Glass/Photo/Print &amp; Wood</x:v>
      </x:c>
      <x:c r="E1345" s="8" t="str">
        <x:v>future</x:v>
      </x:c>
      <x:c r="F1345" s="8" t="str">
        <x:v>2026-10-12</x:v>
      </x:c>
      <x:c r="G1345" s="8" t="str">
        <x:v>2026-10-14</x:v>
      </x:c>
      <x:c r="H1345" s="8" t="n">
        <x:v>6</x:v>
      </x:c>
      <x:c r="I1345" s="8"/>
      <x:c r="J1345" s="8" t="n">
        <x:v>6</x:v>
      </x:c>
      <x:c r="K1345" s="8" t="str">
        <x:v>unverified-denominator</x:v>
      </x:c>
      <x:c r="L1345" s="8" t="d">
        <x:v>2026-09-16T05:12:38.111Z</x:v>
      </x:c>
      <x:c r="M1345" s="8" t="str">
        <x:v>https://apm.activecommunities.com/portlandparks/Activity_Search/woodworking---hand-tool-basics/207569?locale=en-US</x:v>
      </x:c>
    </x:row>
    <x:row r="1346" ht="38" customHeight="1">
      <x:c r="A1346" s="7" t="str">
        <x:v>207570</x:v>
      </x:c>
      <x:c r="B1346" s="12" t="str">
        <x:v>Woodworking - Hand Tool Basics: Family</x:v>
      </x:c>
      <x:c r="C1346" s="12" t="str">
        <x:v>Multnomah Arts Ctr</x:v>
      </x:c>
      <x:c r="D1346" s="12" t="str">
        <x:v>Arts &amp; Crafts - Glass/Photo/Print &amp; Wood</x:v>
      </x:c>
      <x:c r="E1346" s="7" t="str">
        <x:v>future</x:v>
      </x:c>
      <x:c r="F1346" s="7" t="str">
        <x:v>2026-10-24</x:v>
      </x:c>
      <x:c r="G1346" s="7" t="str">
        <x:v>2026-10-31</x:v>
      </x:c>
      <x:c r="H1346" s="7" t="n">
        <x:v>6</x:v>
      </x:c>
      <x:c r="I1346" s="7" t="n">
        <x:v>1</x:v>
      </x:c>
      <x:c r="J1346" s="7" t="n">
        <x:v>6</x:v>
      </x:c>
      <x:c r="K1346" s="7" t="str">
        <x:v>unverified-denominator</x:v>
      </x:c>
      <x:c r="L1346" s="7" t="d">
        <x:v>2026-09-16T05:12:38.111Z</x:v>
      </x:c>
      <x:c r="M1346" s="7" t="str">
        <x:v>https://apm.activecommunities.com/portlandparks/Activity_Search/woodworking---hand-tool-basics-family/207570?locale=en-US</x:v>
      </x:c>
    </x:row>
    <x:row r="1347" ht="38" customHeight="1">
      <x:c r="A1347" s="8" t="str">
        <x:v>208223</x:v>
      </x:c>
      <x:c r="B1347" s="11" t="str">
        <x:v>Woodworking - Hand Tools: Build an Adirondack Chair</x:v>
      </x:c>
      <x:c r="C1347" s="11" t="str">
        <x:v>Multnomah Arts Ctr</x:v>
      </x:c>
      <x:c r="D1347" s="11" t="str">
        <x:v>Arts &amp; Crafts - Glass/Photo/Print &amp; Wood</x:v>
      </x:c>
      <x:c r="E1347" s="8" t="str">
        <x:v>future</x:v>
      </x:c>
      <x:c r="F1347" s="8" t="str">
        <x:v>2026-10-20</x:v>
      </x:c>
      <x:c r="G1347" s="8" t="str">
        <x:v>2026-11-17</x:v>
      </x:c>
      <x:c r="H1347" s="8" t="n">
        <x:v>6</x:v>
      </x:c>
      <x:c r="I1347" s="8"/>
      <x:c r="J1347" s="8" t="n">
        <x:v>6</x:v>
      </x:c>
      <x:c r="K1347" s="8" t="str">
        <x:v>unverified-denominator</x:v>
      </x:c>
      <x:c r="L1347" s="8" t="d">
        <x:v>2026-09-16T05:12:38.111Z</x:v>
      </x:c>
      <x:c r="M1347" s="8" t="str">
        <x:v>https://apm.activecommunities.com/portlandparks/Activity_Search/woodworking---hand-tools-build-an-adirondack-chair/208223?locale=en-US</x:v>
      </x:c>
    </x:row>
    <x:row r="1348" ht="38" customHeight="1">
      <x:c r="A1348" s="7" t="str">
        <x:v>207571</x:v>
      </x:c>
      <x:c r="B1348" s="12" t="str">
        <x:v>Woodworking - Intro to Woodshop</x:v>
      </x:c>
      <x:c r="C1348" s="12" t="str">
        <x:v>Multnomah Arts Ctr</x:v>
      </x:c>
      <x:c r="D1348" s="12" t="str">
        <x:v>Arts &amp; Crafts - Glass/Photo/Print &amp; Wood</x:v>
      </x:c>
      <x:c r="E1348" s="7" t="str">
        <x:v>future</x:v>
      </x:c>
      <x:c r="F1348" s="7" t="str">
        <x:v>2026-10-01</x:v>
      </x:c>
      <x:c r="G1348" s="7" t="str">
        <x:v>2026-10-15</x:v>
      </x:c>
      <x:c r="H1348" s="7" t="n">
        <x:v>4</x:v>
      </x:c>
      <x:c r="I1348" s="7" t="n">
        <x:v>5</x:v>
      </x:c>
      <x:c r="J1348" s="7" t="n">
        <x:v>4</x:v>
      </x:c>
      <x:c r="K1348" s="7" t="str">
        <x:v>unverified-denominator</x:v>
      </x:c>
      <x:c r="L1348" s="7" t="d">
        <x:v>2026-09-16T05:12:38.111Z</x:v>
      </x:c>
      <x:c r="M1348" s="7" t="str">
        <x:v>https://apm.activecommunities.com/portlandparks/Activity_Search/woodworking---intro-to-woodshop/207571?locale=en-US</x:v>
      </x:c>
    </x:row>
    <x:row r="1349" ht="38" customHeight="1">
      <x:c r="A1349" s="8" t="str">
        <x:v>207645</x:v>
      </x:c>
      <x:c r="B1349" s="11" t="str">
        <x:v>Yoga - Family Yoga</x:v>
      </x:c>
      <x:c r="C1349" s="11" t="str">
        <x:v>Southwest Cmty Ctr</x:v>
      </x:c>
      <x:c r="D1349" s="11" t="str">
        <x:v>Fitness</x:v>
      </x:c>
      <x:c r="E1349" s="8" t="str">
        <x:v>future</x:v>
      </x:c>
      <x:c r="F1349" s="8" t="str">
        <x:v>2026-10-03</x:v>
      </x:c>
      <x:c r="G1349" s="8" t="str">
        <x:v>2026-10-31</x:v>
      </x:c>
      <x:c r="H1349" s="8" t="n">
        <x:v>7</x:v>
      </x:c>
      <x:c r="I1349" s="8"/>
      <x:c r="J1349" s="8" t="n">
        <x:v>10</x:v>
      </x:c>
      <x:c r="K1349" s="8" t="str">
        <x:v>unverified-denominator</x:v>
      </x:c>
      <x:c r="L1349" s="8" t="d">
        <x:v>2026-09-16T05:12:38.111Z</x:v>
      </x:c>
      <x:c r="M1349" s="8" t="str">
        <x:v>https://apm.activecommunities.com/portlandparks/Activity_Search/yoga---family-yoga/207645?locale=en-US</x:v>
      </x:c>
    </x:row>
    <x:row r="1350" ht="38" customHeight="1">
      <x:c r="A1350" s="7" t="str">
        <x:v>207646</x:v>
      </x:c>
      <x:c r="B1350" s="12" t="str">
        <x:v>Yoga - Family Yoga</x:v>
      </x:c>
      <x:c r="C1350" s="12" t="str">
        <x:v>Southwest Cmty Ctr</x:v>
      </x:c>
      <x:c r="D1350" s="12" t="str">
        <x:v>Fitness</x:v>
      </x:c>
      <x:c r="E1350" s="7" t="str">
        <x:v>future</x:v>
      </x:c>
      <x:c r="F1350" s="7" t="str">
        <x:v>2026-11-07</x:v>
      </x:c>
      <x:c r="G1350" s="7" t="str">
        <x:v>2026-12-12</x:v>
      </x:c>
      <x:c r="H1350" s="7" t="n">
        <x:v>0</x:v>
      </x:c>
      <x:c r="I1350" s="7"/>
      <x:c r="J1350" s="7" t="n">
        <x:v>10</x:v>
      </x:c>
      <x:c r="K1350" s="7" t="str">
        <x:v>unverified-denominator</x:v>
      </x:c>
      <x:c r="L1350" s="7" t="d">
        <x:v>2026-09-16T05:12:38.111Z</x:v>
      </x:c>
      <x:c r="M1350" s="7" t="str">
        <x:v>https://apm.activecommunities.com/portlandparks/Activity_Search/yoga---family-yoga/207646?locale=en-US</x:v>
      </x:c>
    </x:row>
    <x:row r="1351" ht="38" customHeight="1">
      <x:c r="A1351" s="8" t="str">
        <x:v>208689</x:v>
      </x:c>
      <x:c r="B1351" s="11" t="str">
        <x:v>Yoga - Prenatal &amp; Postnatal</x:v>
      </x:c>
      <x:c r="C1351" s="11" t="str">
        <x:v>Charles Jordan Cmty Ctr</x:v>
      </x:c>
      <x:c r="D1351" s="11" t="str">
        <x:v>Fitness</x:v>
      </x:c>
      <x:c r="E1351" s="8" t="str">
        <x:v>future</x:v>
      </x:c>
      <x:c r="F1351" s="8" t="str">
        <x:v>2026-10-02</x:v>
      </x:c>
      <x:c r="G1351" s="8" t="str">
        <x:v>2026-12-11</x:v>
      </x:c>
      <x:c r="H1351" s="8" t="n">
        <x:v>1</x:v>
      </x:c>
      <x:c r="I1351" s="8"/>
      <x:c r="J1351" s="8" t="n">
        <x:v>10</x:v>
      </x:c>
      <x:c r="K1351" s="8" t="str">
        <x:v>unverified-denominator</x:v>
      </x:c>
      <x:c r="L1351" s="8" t="d">
        <x:v>2026-09-16T05:12:38.111Z</x:v>
      </x:c>
      <x:c r="M1351" s="8" t="str">
        <x:v>https://apm.activecommunities.com/portlandparks/Activity_Search/yoga---prenatal-postnatal/208689?locale=en-US</x:v>
      </x:c>
    </x:row>
    <x:row r="1352" ht="38" customHeight="1">
      <x:c r="A1352" s="7" t="str">
        <x:v>207573</x:v>
      </x:c>
      <x:c r="B1352" s="12" t="str">
        <x:v>Young Artists - Draw &amp; Paint!</x:v>
      </x:c>
      <x:c r="C1352" s="12" t="str">
        <x:v>Multnomah Arts Ctr</x:v>
      </x:c>
      <x:c r="D1352" s="12" t="str">
        <x:v>Arts &amp; Crafts - Painting</x:v>
      </x:c>
      <x:c r="E1352" s="7" t="str">
        <x:v>future</x:v>
      </x:c>
      <x:c r="F1352" s="7" t="str">
        <x:v>2026-09-28</x:v>
      </x:c>
      <x:c r="G1352" s="7" t="str">
        <x:v>2026-10-26</x:v>
      </x:c>
      <x:c r="H1352" s="7" t="n">
        <x:v>10</x:v>
      </x:c>
      <x:c r="I1352" s="7"/>
      <x:c r="J1352" s="7" t="n">
        <x:v>10</x:v>
      </x:c>
      <x:c r="K1352" s="7" t="str">
        <x:v>unverified-denominator</x:v>
      </x:c>
      <x:c r="L1352" s="7" t="d">
        <x:v>2026-09-16T05:12:38.111Z</x:v>
      </x:c>
      <x:c r="M1352" s="7" t="str">
        <x:v>https://apm.activecommunities.com/portlandparks/Activity_Search/young-artists---draw-paint/207573?locale=en-US</x:v>
      </x:c>
    </x:row>
    <x:row r="1353" ht="38" customHeight="1">
      <x:c r="A1353" s="8" t="str">
        <x:v>207574</x:v>
      </x:c>
      <x:c r="B1353" s="11" t="str">
        <x:v>Young Artists - Draw &amp; Paint!</x:v>
      </x:c>
      <x:c r="C1353" s="11" t="str">
        <x:v>Multnomah Arts Ctr</x:v>
      </x:c>
      <x:c r="D1353" s="11" t="str">
        <x:v>Arts &amp; Crafts - Painting</x:v>
      </x:c>
      <x:c r="E1353" s="8" t="str">
        <x:v>future</x:v>
      </x:c>
      <x:c r="F1353" s="8" t="str">
        <x:v>2026-11-02</x:v>
      </x:c>
      <x:c r="G1353" s="8" t="str">
        <x:v>2026-11-30</x:v>
      </x:c>
      <x:c r="H1353" s="8" t="n">
        <x:v>0</x:v>
      </x:c>
      <x:c r="I1353" s="8"/>
      <x:c r="J1353" s="8" t="n">
        <x:v>10</x:v>
      </x:c>
      <x:c r="K1353" s="8" t="str">
        <x:v>unverified-denominator</x:v>
      </x:c>
      <x:c r="L1353" s="8" t="d">
        <x:v>2026-09-16T05:12:38.111Z</x:v>
      </x:c>
      <x:c r="M1353" s="8" t="str">
        <x:v>https://apm.activecommunities.com/portlandparks/Activity_Search/young-artists---draw-paint/207574?locale=en-US</x:v>
      </x:c>
    </x:row>
    <x:row r="1354" ht="38" customHeight="1">
      <x:c r="A1354" s="7" t="str">
        <x:v>207575</x:v>
      </x:c>
      <x:c r="B1354" s="12" t="str">
        <x:v>Young Artists - Draw &amp; Paint!</x:v>
      </x:c>
      <x:c r="C1354" s="12" t="str">
        <x:v>Multnomah Arts Ctr</x:v>
      </x:c>
      <x:c r="D1354" s="12" t="str">
        <x:v>Arts &amp; Crafts - Painting</x:v>
      </x:c>
      <x:c r="E1354" s="7" t="str">
        <x:v>future</x:v>
      </x:c>
      <x:c r="F1354" s="7" t="str">
        <x:v>2026-09-28</x:v>
      </x:c>
      <x:c r="G1354" s="7" t="str">
        <x:v>2026-10-26</x:v>
      </x:c>
      <x:c r="H1354" s="7" t="n">
        <x:v>5</x:v>
      </x:c>
      <x:c r="I1354" s="7"/>
      <x:c r="J1354" s="7" t="n">
        <x:v>10</x:v>
      </x:c>
      <x:c r="K1354" s="7" t="str">
        <x:v>unverified-denominator</x:v>
      </x:c>
      <x:c r="L1354" s="7" t="d">
        <x:v>2026-09-16T05:12:38.111Z</x:v>
      </x:c>
      <x:c r="M1354" s="7" t="str">
        <x:v>https://apm.activecommunities.com/portlandparks/Activity_Search/young-artists---draw-paint/207575?locale=en-US</x:v>
      </x:c>
    </x:row>
    <x:row r="1355" ht="38" customHeight="1">
      <x:c r="A1355" s="8" t="str">
        <x:v>207576</x:v>
      </x:c>
      <x:c r="B1355" s="11" t="str">
        <x:v>Young Artists - Draw &amp; Paint!</x:v>
      </x:c>
      <x:c r="C1355" s="11" t="str">
        <x:v>Multnomah Arts Ctr</x:v>
      </x:c>
      <x:c r="D1355" s="11" t="str">
        <x:v>Arts &amp; Crafts - Painting</x:v>
      </x:c>
      <x:c r="E1355" s="8" t="str">
        <x:v>future</x:v>
      </x:c>
      <x:c r="F1355" s="8" t="str">
        <x:v>2026-11-02</x:v>
      </x:c>
      <x:c r="G1355" s="8" t="str">
        <x:v>2026-11-30</x:v>
      </x:c>
      <x:c r="H1355" s="8" t="n">
        <x:v>0</x:v>
      </x:c>
      <x:c r="I1355" s="8"/>
      <x:c r="J1355" s="8" t="n">
        <x:v>10</x:v>
      </x:c>
      <x:c r="K1355" s="8" t="str">
        <x:v>unverified-denominator</x:v>
      </x:c>
      <x:c r="L1355" s="8" t="d">
        <x:v>2026-09-16T05:12:38.111Z</x:v>
      </x:c>
      <x:c r="M1355" s="8" t="str">
        <x:v>https://apm.activecommunities.com/portlandparks/Activity_Search/young-artists---draw-paint/207576?locale=en-US</x:v>
      </x:c>
    </x:row>
    <x:row r="1356" ht="38" customHeight="1">
      <x:c r="A1356" s="7" t="str">
        <x:v>207577</x:v>
      </x:c>
      <x:c r="B1356" s="12" t="str">
        <x:v>Young Artists - Drawing &amp; Painting</x:v>
      </x:c>
      <x:c r="C1356" s="12" t="str">
        <x:v>Multnomah Arts Ctr</x:v>
      </x:c>
      <x:c r="D1356" s="12" t="str">
        <x:v>Arts &amp; Crafts - Painting</x:v>
      </x:c>
      <x:c r="E1356" s="7" t="str">
        <x:v>future</x:v>
      </x:c>
      <x:c r="F1356" s="7" t="str">
        <x:v>2026-10-01</x:v>
      </x:c>
      <x:c r="G1356" s="7" t="str">
        <x:v>2026-10-29</x:v>
      </x:c>
      <x:c r="H1356" s="7" t="n">
        <x:v>10</x:v>
      </x:c>
      <x:c r="I1356" s="7" t="n">
        <x:v>3</x:v>
      </x:c>
      <x:c r="J1356" s="7" t="n">
        <x:v>10</x:v>
      </x:c>
      <x:c r="K1356" s="7" t="str">
        <x:v>unverified-denominator</x:v>
      </x:c>
      <x:c r="L1356" s="7" t="d">
        <x:v>2026-09-16T05:12:38.111Z</x:v>
      </x:c>
      <x:c r="M1356" s="7" t="str">
        <x:v>https://apm.activecommunities.com/portlandparks/Activity_Search/young-artists---drawing-painting/207577?locale=en-US</x:v>
      </x:c>
    </x:row>
    <x:row r="1357" ht="38" customHeight="1">
      <x:c r="A1357" s="8" t="str">
        <x:v>207578</x:v>
      </x:c>
      <x:c r="B1357" s="11" t="str">
        <x:v>Young Artists - Drawing &amp; Painting</x:v>
      </x:c>
      <x:c r="C1357" s="11" t="str">
        <x:v>Multnomah Arts Ctr</x:v>
      </x:c>
      <x:c r="D1357" s="11" t="str">
        <x:v>Arts &amp; Crafts - Painting</x:v>
      </x:c>
      <x:c r="E1357" s="8" t="str">
        <x:v>future</x:v>
      </x:c>
      <x:c r="F1357" s="8" t="str">
        <x:v>2026-10-01</x:v>
      </x:c>
      <x:c r="G1357" s="8" t="str">
        <x:v>2026-10-29</x:v>
      </x:c>
      <x:c r="H1357" s="8" t="n">
        <x:v>4</x:v>
      </x:c>
      <x:c r="I1357" s="8"/>
      <x:c r="J1357" s="8" t="n">
        <x:v>10</x:v>
      </x:c>
      <x:c r="K1357" s="8" t="str">
        <x:v>unverified-denominator</x:v>
      </x:c>
      <x:c r="L1357" s="8" t="d">
        <x:v>2026-09-16T05:12:38.111Z</x:v>
      </x:c>
      <x:c r="M1357" s="8" t="str">
        <x:v>https://apm.activecommunities.com/portlandparks/Activity_Search/young-artists---drawing-painting/207578?locale=en-US</x:v>
      </x:c>
    </x:row>
    <x:row r="1358" ht="38" customHeight="1">
      <x:c r="A1358" s="7" t="str">
        <x:v>207579</x:v>
      </x:c>
      <x:c r="B1358" s="12" t="str">
        <x:v>Young Artists - Drawing &amp; Painting</x:v>
      </x:c>
      <x:c r="C1358" s="12" t="str">
        <x:v>Multnomah Arts Ctr</x:v>
      </x:c>
      <x:c r="D1358" s="12" t="str">
        <x:v>Arts &amp; Crafts - Painting</x:v>
      </x:c>
      <x:c r="E1358" s="7" t="str">
        <x:v>future</x:v>
      </x:c>
      <x:c r="F1358" s="7" t="str">
        <x:v>2026-10-01</x:v>
      </x:c>
      <x:c r="G1358" s="7" t="str">
        <x:v>2026-10-29</x:v>
      </x:c>
      <x:c r="H1358" s="7" t="n">
        <x:v>7</x:v>
      </x:c>
      <x:c r="I1358" s="7"/>
      <x:c r="J1358" s="7" t="n">
        <x:v>10</x:v>
      </x:c>
      <x:c r="K1358" s="7" t="str">
        <x:v>unverified-denominator</x:v>
      </x:c>
      <x:c r="L1358" s="7" t="d">
        <x:v>2026-09-16T05:12:38.111Z</x:v>
      </x:c>
      <x:c r="M1358" s="7" t="str">
        <x:v>https://apm.activecommunities.com/portlandparks/Activity_Search/young-artists---drawing-painting/207579?locale=en-US</x:v>
      </x:c>
    </x:row>
    <x:row r="1359" ht="38" customHeight="1">
      <x:c r="A1359" s="8" t="str">
        <x:v>207580</x:v>
      </x:c>
      <x:c r="B1359" s="11" t="str">
        <x:v>Young Artists - Drawing &amp; Painting</x:v>
      </x:c>
      <x:c r="C1359" s="11" t="str">
        <x:v>Multnomah Arts Ctr</x:v>
      </x:c>
      <x:c r="D1359" s="11" t="str">
        <x:v>Arts &amp; Crafts - Painting</x:v>
      </x:c>
      <x:c r="E1359" s="8" t="str">
        <x:v>future</x:v>
      </x:c>
      <x:c r="F1359" s="8" t="str">
        <x:v>2026-11-12</x:v>
      </x:c>
      <x:c r="G1359" s="8" t="str">
        <x:v>2026-12-10</x:v>
      </x:c>
      <x:c r="H1359" s="8" t="n">
        <x:v>0</x:v>
      </x:c>
      <x:c r="I1359" s="8"/>
      <x:c r="J1359" s="8" t="n">
        <x:v>10</x:v>
      </x:c>
      <x:c r="K1359" s="8" t="str">
        <x:v>unverified-denominator</x:v>
      </x:c>
      <x:c r="L1359" s="8" t="d">
        <x:v>2026-09-16T05:12:38.111Z</x:v>
      </x:c>
      <x:c r="M1359" s="8" t="str">
        <x:v>https://apm.activecommunities.com/portlandparks/Activity_Search/young-artists---drawing-painting/207580?locale=en-US</x:v>
      </x:c>
    </x:row>
    <x:row r="1360" ht="38" customHeight="1">
      <x:c r="A1360" s="7" t="str">
        <x:v>207581</x:v>
      </x:c>
      <x:c r="B1360" s="12" t="str">
        <x:v>Young Artists - Drawing &amp; Painting</x:v>
      </x:c>
      <x:c r="C1360" s="12" t="str">
        <x:v>Multnomah Arts Ctr</x:v>
      </x:c>
      <x:c r="D1360" s="12" t="str">
        <x:v>Arts &amp; Crafts - Painting</x:v>
      </x:c>
      <x:c r="E1360" s="7" t="str">
        <x:v>future</x:v>
      </x:c>
      <x:c r="F1360" s="7" t="str">
        <x:v>2026-11-12</x:v>
      </x:c>
      <x:c r="G1360" s="7" t="str">
        <x:v>2026-12-10</x:v>
      </x:c>
      <x:c r="H1360" s="7" t="n">
        <x:v>0</x:v>
      </x:c>
      <x:c r="I1360" s="7"/>
      <x:c r="J1360" s="7" t="n">
        <x:v>10</x:v>
      </x:c>
      <x:c r="K1360" s="7" t="str">
        <x:v>unverified-denominator</x:v>
      </x:c>
      <x:c r="L1360" s="7" t="d">
        <x:v>2026-09-16T05:12:38.111Z</x:v>
      </x:c>
      <x:c r="M1360" s="7" t="str">
        <x:v>https://apm.activecommunities.com/portlandparks/Activity_Search/young-artists---drawing-painting/207581?locale=en-US</x:v>
      </x:c>
    </x:row>
    <x:row r="1361" ht="38" customHeight="1">
      <x:c r="A1361" s="8" t="str">
        <x:v>207582</x:v>
      </x:c>
      <x:c r="B1361" s="11" t="str">
        <x:v>Young Artists - Drawing &amp; Painting</x:v>
      </x:c>
      <x:c r="C1361" s="11" t="str">
        <x:v>Multnomah Arts Ctr</x:v>
      </x:c>
      <x:c r="D1361" s="11" t="str">
        <x:v>Arts &amp; Crafts - Painting</x:v>
      </x:c>
      <x:c r="E1361" s="8" t="str">
        <x:v>future</x:v>
      </x:c>
      <x:c r="F1361" s="8" t="str">
        <x:v>2026-11-12</x:v>
      </x:c>
      <x:c r="G1361" s="8" t="str">
        <x:v>2026-12-10</x:v>
      </x:c>
      <x:c r="H1361" s="8" t="n">
        <x:v>0</x:v>
      </x:c>
      <x:c r="I1361" s="8"/>
      <x:c r="J1361" s="8" t="n">
        <x:v>10</x:v>
      </x:c>
      <x:c r="K1361" s="8" t="str">
        <x:v>unverified-denominator</x:v>
      </x:c>
      <x:c r="L1361" s="8" t="d">
        <x:v>2026-09-16T05:12:38.111Z</x:v>
      </x:c>
      <x:c r="M1361" s="8" t="str">
        <x:v>https://apm.activecommunities.com/portlandparks/Activity_Search/young-artists---drawing-painting/207582?locale=en-US</x:v>
      </x:c>
    </x:row>
    <x:row r="1362" ht="38" customHeight="1">
      <x:c r="A1362" s="7" t="str">
        <x:v>208407</x:v>
      </x:c>
      <x:c r="B1362" s="12" t="str">
        <x:v>Young Artists - Drawing, Painting &amp; Mixed Media</x:v>
      </x:c>
      <x:c r="C1362" s="12" t="str">
        <x:v>Peninsula Park Cmty Ctr</x:v>
      </x:c>
      <x:c r="D1362" s="12" t="str">
        <x:v>Arts &amp; Crafts - Painting</x:v>
      </x:c>
      <x:c r="E1362" s="7" t="str">
        <x:v>future</x:v>
      </x:c>
      <x:c r="F1362" s="7" t="str">
        <x:v>2026-11-04</x:v>
      </x:c>
      <x:c r="G1362" s="7" t="str">
        <x:v>2026-12-09</x:v>
      </x:c>
      <x:c r="H1362" s="7" t="n">
        <x:v>0</x:v>
      </x:c>
      <x:c r="I1362" s="7"/>
      <x:c r="J1362" s="7" t="n">
        <x:v>10</x:v>
      </x:c>
      <x:c r="K1362" s="7" t="str">
        <x:v>unverified-denominator</x:v>
      </x:c>
      <x:c r="L1362" s="7" t="d">
        <x:v>2026-09-16T05:12:38.111Z</x:v>
      </x:c>
      <x:c r="M1362" s="7" t="str">
        <x:v>https://apm.activecommunities.com/portlandparks/Activity_Search/young-artists---drawing-painting-mixed-media/208407?locale=en-US</x:v>
      </x:c>
    </x:row>
    <x:row r="1363" ht="38" customHeight="1">
      <x:c r="A1363" s="8" t="str">
        <x:v>208402</x:v>
      </x:c>
      <x:c r="B1363" s="11" t="str">
        <x:v>Young Artists - Drawing, Painting &amp; Mixed Media</x:v>
      </x:c>
      <x:c r="C1363" s="11" t="str">
        <x:v>Peninsula Park Cmty Ctr</x:v>
      </x:c>
      <x:c r="D1363" s="11" t="str">
        <x:v>Arts &amp; Crafts - Painting</x:v>
      </x:c>
      <x:c r="E1363" s="8" t="str">
        <x:v>future</x:v>
      </x:c>
      <x:c r="F1363" s="8" t="str">
        <x:v>2026-09-30</x:v>
      </x:c>
      <x:c r="G1363" s="8" t="str">
        <x:v>2026-10-28</x:v>
      </x:c>
      <x:c r="H1363" s="8" t="n">
        <x:v>1</x:v>
      </x:c>
      <x:c r="I1363" s="8"/>
      <x:c r="J1363" s="8" t="n">
        <x:v>10</x:v>
      </x:c>
      <x:c r="K1363" s="8" t="str">
        <x:v>unverified-denominator</x:v>
      </x:c>
      <x:c r="L1363" s="8" t="d">
        <x:v>2026-09-16T05:12:38.111Z</x:v>
      </x:c>
      <x:c r="M1363" s="8" t="str">
        <x:v>https://apm.activecommunities.com/portlandparks/Activity_Search/young-artists---drawing-painting-mixed-media/208402?locale=en-US</x:v>
      </x:c>
    </x:row>
    <x:row r="1364" ht="38" customHeight="1">
      <x:c r="A1364" s="7" t="str">
        <x:v>208430</x:v>
      </x:c>
      <x:c r="B1364" s="12" t="str">
        <x:v>Young Artists - Drawing, Watercolor Painting</x:v>
      </x:c>
      <x:c r="C1364" s="12" t="str">
        <x:v>Peninsula Park Cmty Ctr</x:v>
      </x:c>
      <x:c r="D1364" s="12" t="str">
        <x:v>Arts &amp; Crafts - Painting</x:v>
      </x:c>
      <x:c r="E1364" s="7" t="str">
        <x:v>future</x:v>
      </x:c>
      <x:c r="F1364" s="7" t="str">
        <x:v>2026-11-06</x:v>
      </x:c>
      <x:c r="G1364" s="7" t="str">
        <x:v>2026-12-11</x:v>
      </x:c>
      <x:c r="H1364" s="7" t="n">
        <x:v>0</x:v>
      </x:c>
      <x:c r="I1364" s="7"/>
      <x:c r="J1364" s="7" t="n">
        <x:v>10</x:v>
      </x:c>
      <x:c r="K1364" s="7" t="str">
        <x:v>unverified-denominator</x:v>
      </x:c>
      <x:c r="L1364" s="7" t="d">
        <x:v>2026-09-16T05:12:38.111Z</x:v>
      </x:c>
      <x:c r="M1364" s="7" t="str">
        <x:v>https://apm.activecommunities.com/portlandparks/Activity_Search/young-artists---drawing-watercolor-painting/208430?locale=en-US</x:v>
      </x:c>
    </x:row>
    <x:row r="1365" ht="38" customHeight="1">
      <x:c r="A1365" s="8" t="str">
        <x:v>208427</x:v>
      </x:c>
      <x:c r="B1365" s="11" t="str">
        <x:v>Young Artists - Drawing, Watercolor Painting</x:v>
      </x:c>
      <x:c r="C1365" s="11" t="str">
        <x:v>Peninsula Park Cmty Ctr</x:v>
      </x:c>
      <x:c r="D1365" s="11" t="str">
        <x:v>Arts &amp; Crafts - Painting</x:v>
      </x:c>
      <x:c r="E1365" s="8" t="str">
        <x:v>future</x:v>
      </x:c>
      <x:c r="F1365" s="8" t="str">
        <x:v>2026-10-02</x:v>
      </x:c>
      <x:c r="G1365" s="8" t="str">
        <x:v>2026-10-30</x:v>
      </x:c>
      <x:c r="H1365" s="8" t="n">
        <x:v>1</x:v>
      </x:c>
      <x:c r="I1365" s="8"/>
      <x:c r="J1365" s="8" t="n">
        <x:v>10</x:v>
      </x:c>
      <x:c r="K1365" s="8" t="str">
        <x:v>unverified-denominator</x:v>
      </x:c>
      <x:c r="L1365" s="8" t="d">
        <x:v>2026-09-16T05:12:38.111Z</x:v>
      </x:c>
      <x:c r="M1365" s="8" t="str">
        <x:v>https://apm.activecommunities.com/portlandparks/Activity_Search/young-artists---drawing-watercolor-painting/208427?locale=en-US</x:v>
      </x:c>
    </x:row>
    <x:row r="1366" ht="38" customHeight="1">
      <x:c r="A1366" s="7" t="str">
        <x:v>207584</x:v>
      </x:c>
      <x:c r="B1366" s="12" t="str">
        <x:v>Young Artists - Mixed Media</x:v>
      </x:c>
      <x:c r="C1366" s="12" t="str">
        <x:v>Multnomah Arts Ctr</x:v>
      </x:c>
      <x:c r="D1366" s="12" t="str">
        <x:v>Arts &amp; Crafts - Collage, Design, Mix Med</x:v>
      </x:c>
      <x:c r="E1366" s="7" t="str">
        <x:v>future</x:v>
      </x:c>
      <x:c r="F1366" s="7" t="str">
        <x:v>2026-09-30</x:v>
      </x:c>
      <x:c r="G1366" s="7" t="str">
        <x:v>2026-10-28</x:v>
      </x:c>
      <x:c r="H1366" s="7" t="n">
        <x:v>9</x:v>
      </x:c>
      <x:c r="I1366" s="7"/>
      <x:c r="J1366" s="7" t="n">
        <x:v>10</x:v>
      </x:c>
      <x:c r="K1366" s="7" t="str">
        <x:v>unverified-denominator</x:v>
      </x:c>
      <x:c r="L1366" s="7" t="d">
        <x:v>2026-09-16T05:12:38.111Z</x:v>
      </x:c>
      <x:c r="M1366" s="7" t="str">
        <x:v>https://apm.activecommunities.com/portlandparks/Activity_Search/young-artists---mixed-media/207584?locale=en-US</x:v>
      </x:c>
    </x:row>
    <x:row r="1367" ht="38" customHeight="1">
      <x:c r="A1367" s="8" t="str">
        <x:v>207585</x:v>
      </x:c>
      <x:c r="B1367" s="11" t="str">
        <x:v>Young Artists - Mixed Media</x:v>
      </x:c>
      <x:c r="C1367" s="11" t="str">
        <x:v>Multnomah Arts Ctr</x:v>
      </x:c>
      <x:c r="D1367" s="11" t="str">
        <x:v>Arts &amp; Crafts - Collage, Design, Mix Med</x:v>
      </x:c>
      <x:c r="E1367" s="8" t="str">
        <x:v>future</x:v>
      </x:c>
      <x:c r="F1367" s="8" t="str">
        <x:v>2026-09-30</x:v>
      </x:c>
      <x:c r="G1367" s="8" t="str">
        <x:v>2026-10-28</x:v>
      </x:c>
      <x:c r="H1367" s="8" t="n">
        <x:v>3</x:v>
      </x:c>
      <x:c r="I1367" s="8"/>
      <x:c r="J1367" s="8" t="n">
        <x:v>10</x:v>
      </x:c>
      <x:c r="K1367" s="8" t="str">
        <x:v>unverified-denominator</x:v>
      </x:c>
      <x:c r="L1367" s="8" t="d">
        <x:v>2026-09-16T05:12:38.111Z</x:v>
      </x:c>
      <x:c r="M1367" s="8" t="str">
        <x:v>https://apm.activecommunities.com/portlandparks/Activity_Search/young-artists---mixed-media/207585?locale=en-US</x:v>
      </x:c>
    </x:row>
    <x:row r="1368" ht="38" customHeight="1">
      <x:c r="A1368" s="7" t="str">
        <x:v>207587</x:v>
      </x:c>
      <x:c r="B1368" s="12" t="str">
        <x:v>Young Artists - Mixed Media</x:v>
      </x:c>
      <x:c r="C1368" s="12" t="str">
        <x:v>Multnomah Arts Ctr</x:v>
      </x:c>
      <x:c r="D1368" s="12" t="str">
        <x:v>Arts &amp; Crafts - Collage, Design, Mix Med</x:v>
      </x:c>
      <x:c r="E1368" s="7" t="str">
        <x:v>future</x:v>
      </x:c>
      <x:c r="F1368" s="7" t="str">
        <x:v>2026-11-04</x:v>
      </x:c>
      <x:c r="G1368" s="7" t="str">
        <x:v>2026-12-09</x:v>
      </x:c>
      <x:c r="H1368" s="7" t="n">
        <x:v>0</x:v>
      </x:c>
      <x:c r="I1368" s="7"/>
      <x:c r="J1368" s="7" t="n">
        <x:v>10</x:v>
      </x:c>
      <x:c r="K1368" s="7" t="str">
        <x:v>unverified-denominator</x:v>
      </x:c>
      <x:c r="L1368" s="7" t="d">
        <x:v>2026-09-16T05:12:38.111Z</x:v>
      </x:c>
      <x:c r="M1368" s="7" t="str">
        <x:v>https://apm.activecommunities.com/portlandparks/Activity_Search/young-artists---mixed-media/207587?locale=en-US</x:v>
      </x:c>
    </x:row>
    <x:row r="1369" ht="38" customHeight="1">
      <x:c r="A1369" s="8" t="str">
        <x:v>207588</x:v>
      </x:c>
      <x:c r="B1369" s="11" t="str">
        <x:v>Young Artists - Mixed Media</x:v>
      </x:c>
      <x:c r="C1369" s="11" t="str">
        <x:v>Multnomah Arts Ctr</x:v>
      </x:c>
      <x:c r="D1369" s="11" t="str">
        <x:v>Arts &amp; Crafts - Collage, Design, Mix Med</x:v>
      </x:c>
      <x:c r="E1369" s="8" t="str">
        <x:v>future</x:v>
      </x:c>
      <x:c r="F1369" s="8" t="str">
        <x:v>2026-11-04</x:v>
      </x:c>
      <x:c r="G1369" s="8" t="str">
        <x:v>2026-12-09</x:v>
      </x:c>
      <x:c r="H1369" s="8" t="n">
        <x:v>0</x:v>
      </x:c>
      <x:c r="I1369" s="8"/>
      <x:c r="J1369" s="8" t="n">
        <x:v>10</x:v>
      </x:c>
      <x:c r="K1369" s="8" t="str">
        <x:v>unverified-denominator</x:v>
      </x:c>
      <x:c r="L1369" s="8" t="d">
        <x:v>2026-09-16T05:12:38.111Z</x:v>
      </x:c>
      <x:c r="M1369" s="8" t="str">
        <x:v>https://apm.activecommunities.com/portlandparks/Activity_Search/young-artists---mixed-media/207588?locale=en-US</x:v>
      </x:c>
    </x:row>
    <x:row r="1370" ht="38" customHeight="1">
      <x:c r="A1370" s="7" t="str">
        <x:v>209044</x:v>
      </x:c>
      <x:c r="B1370" s="12" t="str">
        <x:v>Young Artists- Drawing, Painting &amp; Mixed Media</x:v>
      </x:c>
      <x:c r="C1370" s="12" t="str">
        <x:v>Matt Dishman Cmty Ctr</x:v>
      </x:c>
      <x:c r="D1370" s="12" t="str">
        <x:v>Arts &amp; Crafts - Painting</x:v>
      </x:c>
      <x:c r="E1370" s="7" t="str">
        <x:v>future</x:v>
      </x:c>
      <x:c r="F1370" s="7" t="str">
        <x:v>2026-09-30</x:v>
      </x:c>
      <x:c r="G1370" s="7" t="str">
        <x:v>2026-10-28</x:v>
      </x:c>
      <x:c r="H1370" s="7" t="n">
        <x:v>0</x:v>
      </x:c>
      <x:c r="I1370" s="7"/>
      <x:c r="J1370" s="7" t="n">
        <x:v>10</x:v>
      </x:c>
      <x:c r="K1370" s="7" t="str">
        <x:v>unverified-denominator</x:v>
      </x:c>
      <x:c r="L1370" s="7" t="d">
        <x:v>2026-09-16T05:12:38.111Z</x:v>
      </x:c>
      <x:c r="M1370" s="7" t="str">
        <x:v>https://apm.activecommunities.com/portlandparks/Activity_Search/young-artists--drawing-painting-mixed-media/209044?locale=en-US</x:v>
      </x:c>
    </x:row>
    <x:row r="1371" ht="38" customHeight="1">
      <x:c r="A1371" s="8" t="str">
        <x:v>209045</x:v>
      </x:c>
      <x:c r="B1371" s="11" t="str">
        <x:v>Young Artists- Drawing, Painting &amp; Mixed Media</x:v>
      </x:c>
      <x:c r="C1371" s="11" t="str">
        <x:v>Matt Dishman Cmty Ctr</x:v>
      </x:c>
      <x:c r="D1371" s="11" t="str">
        <x:v>Arts &amp; Crafts - Painting</x:v>
      </x:c>
      <x:c r="E1371" s="8" t="str">
        <x:v>future</x:v>
      </x:c>
      <x:c r="F1371" s="8" t="str">
        <x:v>2026-11-04</x:v>
      </x:c>
      <x:c r="G1371" s="8" t="str">
        <x:v>2026-12-09</x:v>
      </x:c>
      <x:c r="H1371" s="8" t="n">
        <x:v>0</x:v>
      </x:c>
      <x:c r="I1371" s="8"/>
      <x:c r="J1371" s="8" t="n">
        <x:v>10</x:v>
      </x:c>
      <x:c r="K1371" s="8" t="str">
        <x:v>unverified-denominator</x:v>
      </x:c>
      <x:c r="L1371" s="8" t="d">
        <x:v>2026-09-16T05:12:38.111Z</x:v>
      </x:c>
      <x:c r="M1371" s="8" t="str">
        <x:v>https://apm.activecommunities.com/portlandparks/Activity_Search/young-artists--drawing-painting-mixed-media/209045?locale=en-US</x:v>
      </x:c>
    </x:row>
  </x:sheetData>
  <x:mergeCells>
    <x:mergeCell ref="A2:M2"/>
  </x:mergeCells>
  <x:pageMargins left="0.7" right="0.7" top="0.75" bottom="0.75" header="0.3" footer="0.3"/>
  <x:tableParts count="1">
    <x:tablePart xmlns:r="http://schemas.openxmlformats.org/officeDocument/2006/relationships" r:id="R9551e371fb144872"/>
  </x:tableParts>
</x:worksheet>
</file>

<file path=xl/worksheets/sheet1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42" hidden="0" customWidth="1"/>
    <x:col min="2" max="2" width="45" hidden="0" customWidth="1"/>
    <x:col min="3" max="3" width="24" hidden="0" customWidth="1"/>
    <x:col min="4" max="4" width="20" hidden="0" customWidth="1"/>
    <x:col min="5" max="5" width="20" hidden="0" customWidth="1"/>
    <x:col min="6" max="6" width="100" hidden="0" customWidth="1"/>
    <x:col min="7" max="7" width="75" hidden="0" customWidth="1"/>
  </x:cols>
  <x:sheetData>
    <x:row r="1" ht="32" customHeight="1">
      <x:c r="A1" s="1" t="str">
        <x:v>Partners</x:v>
      </x:c>
    </x:row>
    <x:row r="2" ht="42" customHeight="1">
      <x:c r="A2" s="3" t="str">
        <x:v>Atlas mapped partnership dataset (112 records). Directory has broader relationship records; this is not a complete census of 700+ relationships. No unverified avoided-cost estimates deducted.</x:v>
      </x:c>
      <x:c r="B2" s="3"/>
      <x:c r="C2" s="3"/>
      <x:c r="D2" s="3"/>
      <x:c r="E2" s="3"/>
      <x:c r="F2" s="3"/>
      <x:c r="G2" s="3"/>
    </x:row>
    <x:row r="4" ht="34" customHeight="1">
      <x:c r="A4" s="6" t="str">
        <x:v>ID</x:v>
      </x:c>
      <x:c r="B4" s="6" t="str">
        <x:v>Name</x:v>
      </x:c>
      <x:c r="C4" s="6" t="str">
        <x:v>Category</x:v>
      </x:c>
      <x:c r="D4" s="6" t="str">
        <x:v>Formality</x:v>
      </x:c>
      <x:c r="E4" s="6" t="str">
        <x:v>Scale</x:v>
      </x:c>
      <x:c r="F4" s="6" t="str">
        <x:v>Description</x:v>
      </x:c>
      <x:c r="G4" s="6" t="str">
        <x:v>Website</x:v>
      </x:c>
    </x:row>
    <x:row r="5" ht="55" customHeight="1">
      <x:c r="A5" s="8" t="str">
        <x:v>portland-parks-foundation</x:v>
      </x:c>
      <x:c r="B5" s="11" t="str">
        <x:v>Portland Parks Foundation</x:v>
      </x:c>
      <x:c r="C5" s="11" t="str">
        <x:v>foundation</x:v>
      </x:c>
      <x:c r="D5" s="11" t="str">
        <x:v>registered-nonprofit</x:v>
      </x:c>
      <x:c r="E5" s="11" t="str">
        <x:v>flagship</x:v>
      </x:c>
      <x:c r="F5" s="11" t="str">
        <x:v>An independent 501(c)(3) and the leading philanthropic partner for Portland's parks — not a City agency. Runs grant programs for smaller friends groups, builds capital projects, convenes the parks ecosystem, gives volunteer and leadership awards, and stewards programs that strengthen the park system citywide. The FY2025–26 report names Everybody Plays at four parks, North Portland Fund, Barbara Walker Crossing, and Elk and Summit programs; its program descriptions are not independently verified here.</x:v>
      </x:c>
      <x:c r="G5" s="11" t="str">
        <x:v>https://www.portlandpf.org/</x:v>
      </x:c>
    </x:row>
    <x:row r="6" ht="55" customHeight="1">
      <x:c r="A6" s="7" t="str">
        <x:v>forest-park-conservancy</x:v>
      </x:c>
      <x:c r="B6" s="12" t="str">
        <x:v>Forest Park Conservancy</x:v>
      </x:c>
      <x:c r="C6" s="12" t="str">
        <x:v>conservancy-operating-nonprofit</x:v>
      </x:c>
      <x:c r="D6" s="12" t="str">
        <x:v>registered-nonprofit</x:v>
      </x:c>
      <x:c r="E6" s="12" t="str">
        <x:v>mid</x:v>
      </x:c>
      <x:c r="F6" s="12" t="str">
        <x:v>Stewards the ecological health and trails of Forest Park, Portland's largest park. Began as Friends of Forest Park; now a staffed 501(c)(3) coordinating thousands of volunteers. Named in the FY2025–26 District 4 roster.</x:v>
      </x:c>
      <x:c r="G6" s="12" t="str">
        <x:v>https://forestparkconservancy.org/</x:v>
      </x:c>
    </x:row>
    <x:row r="7" ht="55" customHeight="1">
      <x:c r="A7" s="8" t="str">
        <x:v>hoyt-arboretum-friends</x:v>
      </x:c>
      <x:c r="B7" s="11" t="str">
        <x:v>Hoyt Arboretum Friends</x:v>
      </x:c>
      <x:c r="C7" s="11" t="str">
        <x:v>conservancy-operating-nonprofit</x:v>
      </x:c>
      <x:c r="D7" s="11" t="str">
        <x:v>registered-nonprofit</x:v>
      </x:c>
      <x:c r="E7" s="11" t="str">
        <x:v>small</x:v>
      </x:c>
      <x:c r="F7" s="11" t="str">
        <x:v>Supports Hoyt Arboretum's collections, education, and visitor services in partnership with PP&amp;R.</x:v>
      </x:c>
      <x:c r="G7" s="11"/>
    </x:row>
    <x:row r="8" ht="55" customHeight="1">
      <x:c r="A8" s="7" t="str">
        <x:v>leach-garden-friends</x:v>
      </x:c>
      <x:c r="B8" s="12" t="str">
        <x:v>Leach Garden Friends</x:v>
      </x:c>
      <x:c r="C8" s="12" t="str">
        <x:v>conservancy-operating-nonprofit</x:v>
      </x:c>
      <x:c r="D8" s="12" t="str">
        <x:v>operating-agreement</x:v>
      </x:c>
      <x:c r="E8" s="12" t="str">
        <x:v>small</x:v>
      </x:c>
      <x:c r="F8" s="12" t="str">
        <x:v>Formed in the 1980s to manage the donated Leach Botanical Garden; co-operates the garden with PP&amp;R, with admission revenue funding operations. Named in the report’s District 1 site partnerships.</x:v>
      </x:c>
      <x:c r="G8" s="12"/>
    </x:row>
    <x:row r="9" ht="55" customHeight="1">
      <x:c r="A9" s="8" t="str">
        <x:v>pittock-mansion-society</x:v>
      </x:c>
      <x:c r="B9" s="11" t="str">
        <x:v>Pittock Mansion Society</x:v>
      </x:c>
      <x:c r="C9" s="11" t="str">
        <x:v>conservancy-operating-nonprofit</x:v>
      </x:c>
      <x:c r="D9" s="11" t="str">
        <x:v>operating-agreement</x:v>
      </x:c>
      <x:c r="E9" s="11" t="str">
        <x:v>small</x:v>
      </x:c>
      <x:c r="F9" s="11" t="str">
        <x:v>Operates and maintains the historic Pittock Mansion in partnership with PP&amp;R, funding restoration through tours and membership.</x:v>
      </x:c>
      <x:c r="G9" s="11"/>
    </x:row>
    <x:row r="10" ht="55" customHeight="1">
      <x:c r="A10" s="7" t="str">
        <x:v>halprin-landscape-conservancy</x:v>
      </x:c>
      <x:c r="B10" s="12" t="str">
        <x:v>Halprin Landscape Conservancy</x:v>
      </x:c>
      <x:c r="C10" s="12" t="str">
        <x:v>conservancy-operating-nonprofit</x:v>
      </x:c>
      <x:c r="D10" s="12" t="str">
        <x:v>registered-nonprofit</x:v>
      </x:c>
      <x:c r="E10" s="12" t="str">
        <x:v>small</x:v>
      </x:c>
      <x:c r="F10" s="12" t="str">
        <x:v>Stewards the Halprin Open Space Sequence of downtown modernist fountain parks (Keller, Lovejoy, Pettygrove). Named in the FY2025–26 District 4 roster.</x:v>
      </x:c>
      <x:c r="G10" s="12"/>
    </x:row>
    <x:row r="11" ht="55" customHeight="1">
      <x:c r="A11" s="8" t="str">
        <x:v>kempersports</x:v>
      </x:c>
      <x:c r="B11" s="11" t="str">
        <x:v>KemperSports</x:v>
      </x:c>
      <x:c r="C11" s="11" t="str">
        <x:v>lessee-operator</x:v>
      </x:c>
      <x:c r="D11" s="11" t="str">
        <x:v>lease-or-contract</x:v>
      </x:c>
      <x:c r="E11" s="11" t="str">
        <x:v>large</x:v>
      </x:c>
      <x:c r="F11" s="11" t="str">
        <x:v>A private golf-management company selected by the City in 2008 to operate and develop city golf facilities. KemperSports operates four of the city's five public golf courses. The FY2025–26 report names Heron Lakes, Eastmoreland, Rose City, and Colwood golf operations.</x:v>
      </x:c>
      <x:c r="G11" s="11"/>
    </x:row>
    <x:row r="12" ht="55" customHeight="1">
      <x:c r="A12" s="7" t="str">
        <x:v>usta-pacific-northwest</x:v>
      </x:c>
      <x:c r="B12" s="12" t="str">
        <x:v>USTA Pacific Northwest</x:v>
      </x:c>
      <x:c r="C12" s="12" t="str">
        <x:v>lessee-operator</x:v>
      </x:c>
      <x:c r="D12" s="12" t="str">
        <x:v>lease-or-contract</x:v>
      </x:c>
      <x:c r="E12" s="12" t="str">
        <x:v>mid</x:v>
      </x:c>
      <x:c r="F12" s="12" t="str">
        <x:v>Has proposed a three-year lease to operate the 53-year-old Portland Tennis Center and nearly 100 public tennis courts, with about $1.2M in proposed renovations. PP&amp;R's access discounts of up to 90% do not currently apply at privately operated facilities.</x:v>
      </x:c>
      <x:c r="G12" s="12"/>
    </x:row>
    <x:row r="13" ht="55" customHeight="1">
      <x:c r="A13" s="8" t="str">
        <x:v>friends-of-sellwood-community-house</x:v>
      </x:c>
      <x:c r="B13" s="11" t="str">
        <x:v>Friends of Sellwood Community House</x:v>
      </x:c>
      <x:c r="C13" s="11" t="str">
        <x:v>lessee-operator</x:v>
      </x:c>
      <x:c r="D13" s="11" t="str">
        <x:v>lease-or-contract</x:v>
      </x:c>
      <x:c r="E13" s="11" t="str">
        <x:v>mid</x:v>
      </x:c>
      <x:c r="F13" s="11" t="str">
        <x:v>A neighborhood nonprofit that formed in 2019 to prevent the closure of the century-old Sellwood Community Center and now leases and operates the facility. PP&amp;R’s FY2025–26 report also identifies The Shack at Sellwood Park and Laurelhurst Dance Studio.</x:v>
      </x:c>
      <x:c r="G13" s="11"/>
    </x:row>
    <x:row r="14" ht="55" customHeight="1">
      <x:c r="A14" s="7" t="str">
        <x:v>portland-pickles</x:v>
      </x:c>
      <x:c r="B14" s="12" t="str">
        <x:v>Portland Pickles (Rose City Baseball)</x:v>
      </x:c>
      <x:c r="C14" s="12" t="str">
        <x:v>lessee-operator</x:v>
      </x:c>
      <x:c r="D14" s="12" t="str">
        <x:v>lease-or-contract</x:v>
      </x:c>
      <x:c r="E14" s="12" t="str">
        <x:v>small</x:v>
      </x:c>
      <x:c r="F14" s="12" t="str">
        <x:v>A collegiate summer-league baseball team that has leased and played at Walker Stadium in Lents Park since 2015, providing maintenance and security under its agreement with PP&amp;R. Named as Rose City Baseball LLC (Portland Pickles), at Walker Stadium in Lents Park.</x:v>
      </x:c>
      <x:c r="G14" s="12"/>
    </x:row>
    <x:row r="15" ht="55" customHeight="1">
      <x:c r="A15" s="8" t="str">
        <x:v>nike</x:v>
      </x:c>
      <x:c r="B15" s="11" t="str">
        <x:v>Nike</x:v>
      </x:c>
      <x:c r="C15" s="11" t="str">
        <x:v>corporate-capital</x:v>
      </x:c>
      <x:c r="D15" s="11" t="str">
        <x:v>corporation</x:v>
      </x:c>
      <x:c r="E15" s="11" t="str">
        <x:v>flagship</x:v>
      </x:c>
      <x:c r="F15" s="11" t="str">
        <x:v>Long-running corporate capital donor to Portland park athletic facilities: a $2M basketball-court resurfacing program in 2002, an update of 30 courts in 2018, the 2022–2023 court revitalization (with the Trail Blazers), recycled-rubber track surfacing at Duniway, and the Grant Park turf field. The report highlights citywide basketball court upgrades with the Portland Trail Blazers.</x:v>
      </x:c>
      <x:c r="G15" s="11"/>
    </x:row>
    <x:row r="16" ht="55" customHeight="1">
      <x:c r="A16" s="7" t="str">
        <x:v>portland-trail-blazers</x:v>
      </x:c>
      <x:c r="B16" s="12" t="str">
        <x:v>Portland Trail Blazers</x:v>
      </x:c>
      <x:c r="C16" s="12" t="str">
        <x:v>corporate-capital</x:v>
      </x:c>
      <x:c r="D16" s="12" t="str">
        <x:v>corporation</x:v>
      </x:c>
      <x:c r="E16" s="12" t="str">
        <x:v>large</x:v>
      </x:c>
      <x:c r="F16" s="12" t="str">
        <x:v>Co-funded PP&amp;R's 2022–2023 Basketball Court Revitalization with Nike, giving courts across the city a new look. The report highlights citywide basketball court upgrades with Nike.</x:v>
      </x:c>
      <x:c r="G16" s="12"/>
    </x:row>
    <x:row r="17" ht="55" customHeight="1">
      <x:c r="A17" s="8" t="str">
        <x:v>under-armour</x:v>
      </x:c>
      <x:c r="B17" s="11" t="str">
        <x:v>Under Armour</x:v>
      </x:c>
      <x:c r="C17" s="11" t="str">
        <x:v>corporate-capital</x:v>
      </x:c>
      <x:c r="D17" s="11" t="str">
        <x:v>corporation</x:v>
      </x:c>
      <x:c r="E17" s="11" t="str">
        <x:v>mid</x:v>
      </x:c>
      <x:c r="F17" s="11" t="str">
        <x:v>Announced a 2015 partnership with PP&amp;R to enhance recreation facilities, including a new turf field at Lents Park and improvements at Duniway. The report cites athletic-field support at Lents and Duniway Parks.</x:v>
      </x:c>
      <x:c r="G17" s="11"/>
    </x:row>
    <x:row r="18" ht="55" customHeight="1">
      <x:c r="A18" s="7" t="str">
        <x:v>legacy-emanuel-medical-center</x:v>
      </x:c>
      <x:c r="B18" s="12" t="str">
        <x:v>Legacy Emanuel Medical Center</x:v>
      </x:c>
      <x:c r="C18" s="12" t="str">
        <x:v>corporate-capital</x:v>
      </x:c>
      <x:c r="D18" s="12" t="str">
        <x:v>corporation</x:v>
      </x:c>
      <x:c r="E18" s="12" t="str">
        <x:v>mid</x:v>
      </x:c>
      <x:c r="F18" s="12" t="str">
        <x:v>In partnership with the Portland Parks Foundation, donated generously toward the Dawson Park water feature in the Eliot neighborhood.</x:v>
      </x:c>
      <x:c r="G18" s="12"/>
    </x:row>
    <x:row r="19" ht="55" customHeight="1">
      <x:c r="A19" s="8" t="str">
        <x:v>ndamukong-suh-family-foundation</x:v>
      </x:c>
      <x:c r="B19" s="11" t="str">
        <x:v>Ndamukong Suh Family Foundation</x:v>
      </x:c>
      <x:c r="C19" s="11" t="str">
        <x:v>corporate-capital</x:v>
      </x:c>
      <x:c r="D19" s="11" t="str">
        <x:v>registered-nonprofit</x:v>
      </x:c>
      <x:c r="E19" s="11" t="str">
        <x:v>small</x:v>
      </x:c>
      <x:c r="F19" s="11" t="str">
        <x:v>With Nike and the Friends of Grant Athletics, funded the synthetic turf field and track at Grant Park / Grant High School (2013).</x:v>
      </x:c>
      <x:c r="G19" s="11"/>
    </x:row>
    <x:row r="20" ht="55" customHeight="1">
      <x:c r="A20" s="7" t="str">
        <x:v>portland-general-electric</x:v>
      </x:c>
      <x:c r="B20" s="12" t="str">
        <x:v>Portland General Electric</x:v>
      </x:c>
      <x:c r="C20" s="12" t="str">
        <x:v>corporate-capital</x:v>
      </x:c>
      <x:c r="D20" s="12" t="str">
        <x:v>corporation</x:v>
      </x:c>
      <x:c r="E20" s="12" t="str">
        <x:v>mid</x:v>
      </x:c>
      <x:c r="F20" s="12" t="str">
        <x:v>Utility sponsor of the PGE Parks Champion Awards, a volunteer-recognition program administered through the Portland Parks Foundation that lets awardees direct resources to community organizations.</x:v>
      </x:c>
      <x:c r="G20" s="12"/>
    </x:row>
    <x:row r="21" ht="55" customHeight="1">
      <x:c r="A21" s="8" t="str">
        <x:v>harpers-playground</x:v>
      </x:c>
      <x:c r="B21" s="11" t="str">
        <x:v>Harper's Playground</x:v>
      </x:c>
      <x:c r="C21" s="11" t="str">
        <x:v>programmatic-nonprofit</x:v>
      </x:c>
      <x:c r="D21" s="11" t="str">
        <x:v>registered-nonprofit</x:v>
      </x:c>
      <x:c r="E21" s="11" t="str">
        <x:v>small</x:v>
      </x:c>
      <x:c r="F21" s="11" t="str">
        <x:v>A nonprofit that designs and helps fund radically inclusive, universally accessible playgrounds, working across multiple Portland parks since its first build at Arbor Lodge in 2012. The report cites Arbor Lodge as a donor-supported upgrade example.</x:v>
      </x:c>
      <x:c r="G21" s="11"/>
    </x:row>
    <x:row r="22" ht="55" customHeight="1">
      <x:c r="A22" s="7" t="str">
        <x:v>friends-of-trees</x:v>
      </x:c>
      <x:c r="B22" s="12" t="str">
        <x:v>Friends of Trees</x:v>
      </x:c>
      <x:c r="C22" s="12" t="str">
        <x:v>programmatic-nonprofit</x:v>
      </x:c>
      <x:c r="D22" s="12" t="str">
        <x:v>registered-nonprofit</x:v>
      </x:c>
      <x:c r="E22" s="12" t="str">
        <x:v>mid</x:v>
      </x:c>
      <x:c r="F22" s="12" t="str">
        <x:v>A regional nonprofit that mobilizes volunteers for tree planting and natural-area restoration across many Portland parks and natural areas.</x:v>
      </x:c>
      <x:c r="G22" s="12"/>
    </x:row>
    <x:row r="23" ht="55" customHeight="1">
      <x:c r="A23" s="8" t="str">
        <x:v>depave</x:v>
      </x:c>
      <x:c r="B23" s="11" t="str">
        <x:v>Depave</x:v>
      </x:c>
      <x:c r="C23" s="11" t="str">
        <x:v>programmatic-nonprofit</x:v>
      </x:c>
      <x:c r="D23" s="11" t="str">
        <x:v>registered-nonprofit</x:v>
      </x:c>
      <x:c r="E23" s="11" t="str">
        <x:v>small</x:v>
      </x:c>
      <x:c r="F23" s="11" t="str">
        <x:v>A nonprofit that removes asphalt to create green space and community gardens; helped build the Frazer community garden.</x:v>
      </x:c>
      <x:c r="G23" s="11"/>
    </x:row>
    <x:row r="24" ht="55" customHeight="1">
      <x:c r="A24" s="7" t="str">
        <x:v>poic</x:v>
      </x:c>
      <x:c r="B24" s="12" t="str">
        <x:v>Portland Opportunities Industrialization Center (POIC)</x:v>
      </x:c>
      <x:c r="C24" s="12" t="str">
        <x:v>programmatic-nonprofit</x:v>
      </x:c>
      <x:c r="D24" s="12" t="str">
        <x:v>registered-nonprofit</x:v>
      </x:c>
      <x:c r="E24" s="12" t="str">
        <x:v>mid</x:v>
      </x:c>
      <x:c r="F24" s="12" t="str">
        <x:v>A community-serving organization whose youth and high-school programs have partnered on stewardship at the Columbia Slough Natural Area.</x:v>
      </x:c>
      <x:c r="G24" s="12"/>
    </x:row>
    <x:row r="25" ht="55" customHeight="1">
      <x:c r="A25" s="8" t="str">
        <x:v>friends-of-grant-athletics</x:v>
      </x:c>
      <x:c r="B25" s="11" t="str">
        <x:v>Friends of Grant Athletics</x:v>
      </x:c>
      <x:c r="C25" s="11" t="str">
        <x:v>programmatic-nonprofit</x:v>
      </x:c>
      <x:c r="D25" s="11" t="str">
        <x:v>registered-nonprofit</x:v>
      </x:c>
      <x:c r="E25" s="11" t="str">
        <x:v>small</x:v>
      </x:c>
      <x:c r="F25" s="11" t="str">
        <x:v>Community athletics group that helped bring partners together to fund the Grant Park / Grant High School turf field (2013).</x:v>
      </x:c>
      <x:c r="G25" s="11"/>
    </x:row>
    <x:row r="26" ht="55" customHeight="1">
      <x:c r="A26" s="7" t="str">
        <x:v>friends-of-portland-community-gardens</x:v>
      </x:c>
      <x:c r="B26" s="12" t="str">
        <x:v>Friends of Portland Community Gardens</x:v>
      </x:c>
      <x:c r="C26" s="12" t="str">
        <x:v>garden-natural-network</x:v>
      </x:c>
      <x:c r="D26" s="12" t="str">
        <x:v>registered-nonprofit</x:v>
      </x:c>
      <x:c r="E26" s="12" t="str">
        <x:v>small</x:v>
      </x:c>
      <x:c r="F26" s="12" t="str">
        <x:v>The nonprofit anchoring Portland's community-gardens network of dozens of gardens citywide, supporting gardeners and the Produce for People program.</x:v>
      </x:c>
      <x:c r="G26" s="12"/>
    </x:row>
    <x:row r="27" ht="55" customHeight="1">
      <x:c r="A27" s="8" t="str">
        <x:v>metro</x:v>
      </x:c>
      <x:c r="B27" s="11" t="str">
        <x:v>Metro</x:v>
      </x:c>
      <x:c r="C27" s="11" t="str">
        <x:v>intergovernmental</x:v>
      </x:c>
      <x:c r="D27" s="11" t="str">
        <x:v>public-agency</x:v>
      </x:c>
      <x:c r="E27" s="11" t="str">
        <x:v>large</x:v>
      </x:c>
      <x:c r="F27" s="11" t="str">
        <x:v>The regional government co-funds and coordinates regional trails (including the Wildwood Trail through Forest Park) and distributes Parks &amp; Nature bond funds to local park projects.</x:v>
      </x:c>
      <x:c r="G27" s="11"/>
    </x:row>
    <x:row r="28" ht="55" customHeight="1">
      <x:c r="A28" s="7" t="str">
        <x:v>us-army-corps-of-engineers</x:v>
      </x:c>
      <x:c r="B28" s="12" t="str">
        <x:v>U.S. Army Corps of Engineers</x:v>
      </x:c>
      <x:c r="C28" s="12" t="str">
        <x:v>intergovernmental</x:v>
      </x:c>
      <x:c r="D28" s="12" t="str">
        <x:v>public-agency</x:v>
      </x:c>
      <x:c r="E28" s="12" t="str">
        <x:v>large</x:v>
      </x:c>
      <x:c r="F28" s="12" t="str">
        <x:v>Federal partner on wetland and habitat restoration on park land, including the 2018 restoration of 75 acres at Oaks Bottom.</x:v>
      </x:c>
      <x:c r="G28" s="12"/>
    </x:row>
    <x:row r="29" ht="55" customHeight="1">
      <x:c r="A29" s="8" t="str">
        <x:v>bureau-of-environmental-services</x:v>
      </x:c>
      <x:c r="B29" s="11" t="str">
        <x:v>Bureau of Environmental Services</x:v>
      </x:c>
      <x:c r="C29" s="11" t="str">
        <x:v>intergovernmental</x:v>
      </x:c>
      <x:c r="D29" s="11" t="str">
        <x:v>public-agency</x:v>
      </x:c>
      <x:c r="E29" s="11" t="str">
        <x:v>large</x:v>
      </x:c>
      <x:c r="F29" s="11" t="str">
        <x:v>Portland's environmental services bureau co-manages watershed and stormwater restoration across park land, partnering on projects like Oaks Bottom and Westmoreland Park.</x:v>
      </x:c>
      <x:c r="G29" s="11"/>
    </x:row>
    <x:row r="30" ht="55" customHeight="1">
      <x:c r="A30" s="7" t="str">
        <x:v>prosper-portland</x:v>
      </x:c>
      <x:c r="B30" s="12" t="str">
        <x:v>Prosper Portland</x:v>
      </x:c>
      <x:c r="C30" s="12" t="str">
        <x:v>intergovernmental</x:v>
      </x:c>
      <x:c r="D30" s="12" t="str">
        <x:v>public-agency</x:v>
      </x:c>
      <x:c r="E30" s="12" t="str">
        <x:v>large</x:v>
      </x:c>
      <x:c r="F30" s="12" t="str">
        <x:v>The city's economic-development agency (formerly the Portland Development Commission) has funded park land acquisition and capital projects, especially in urban-renewal areas — Dawson Park, Gateway Discovery Park, Walker Stadium, and the Kenton community garden.</x:v>
      </x:c>
      <x:c r="G30" s="12"/>
    </x:row>
    <x:row r="31" ht="55" customHeight="1">
      <x:c r="A31" s="8" t="str">
        <x:v>trimet</x:v>
      </x:c>
      <x:c r="B31" s="11" t="str">
        <x:v>TriMet</x:v>
      </x:c>
      <x:c r="C31" s="11" t="str">
        <x:v>intergovernmental</x:v>
      </x:c>
      <x:c r="D31" s="11" t="str">
        <x:v>public-agency</x:v>
      </x:c>
      <x:c r="E31" s="11" t="str">
        <x:v>mid</x:v>
      </x:c>
      <x:c r="F31" s="11" t="str">
        <x:v>The regional transit agency partners on access and on capital restoration projects such as Westmoreland Park.</x:v>
      </x:c>
      <x:c r="G31" s="11"/>
    </x:row>
    <x:row r="32" ht="55" customHeight="1">
      <x:c r="A32" s="7" t="str">
        <x:v>regional-arts-culture-council</x:v>
      </x:c>
      <x:c r="B32" s="12" t="str">
        <x:v>Regional Arts &amp; Culture Council</x:v>
      </x:c>
      <x:c r="C32" s="12" t="str">
        <x:v>intergovernmental</x:v>
      </x:c>
      <x:c r="D32" s="12" t="str">
        <x:v>public-agency</x:v>
      </x:c>
      <x:c r="E32" s="12" t="str">
        <x:v>mid</x:v>
      </x:c>
      <x:c r="F32" s="12" t="str">
        <x:v>Manages public art in parks (the Percent for Art program) and partnered on cultural installations such as the Sapporo Peace Plaza in Waterfront Park.</x:v>
      </x:c>
      <x:c r="G32" s="12"/>
    </x:row>
    <x:row r="33" ht="55" customHeight="1">
      <x:c r="A33" s="8" t="str">
        <x:v>confederated-tribes-warm-springs</x:v>
      </x:c>
      <x:c r="B33" s="11" t="str">
        <x:v>Confederated Tribes of Warm Springs</x:v>
      </x:c>
      <x:c r="C33" s="11" t="str">
        <x:v>intergovernmental</x:v>
      </x:c>
      <x:c r="D33" s="11" t="str">
        <x:v>tribal-government</x:v>
      </x:c>
      <x:c r="E33" s="11" t="str">
        <x:v>mid</x:v>
      </x:c>
      <x:c r="F33" s="11" t="str">
        <x:v>Tribal partner on cultural consultation and the Ichishkíin-language naming of 'Scht Wiwnu Park, co-stewarding cultural meaning at the site.</x:v>
      </x:c>
      <x:c r="G33" s="11"/>
    </x:row>
    <x:row r="34" ht="55" customHeight="1">
      <x:c r="A34" s="7" t="str">
        <x:v>ppr-volunteer-stewards</x:v>
      </x:c>
      <x:c r="B34" s="12" t="str">
        <x:v>PP&amp;R volunteer stewards</x:v>
      </x:c>
      <x:c r="C34" s="12" t="str">
        <x:v>volunteer-corps</x:v>
      </x:c>
      <x:c r="D34" s="12" t="str">
        <x:v>public-agency</x:v>
      </x:c>
      <x:c r="E34" s="12" t="str">
        <x:v>large</x:v>
      </x:c>
      <x:c r="F34" s="12" t="str">
        <x:v>The citywide body of individual park stewards and PP&amp;R-run volunteer programs (invasive removal, No Ivy League, park cleanups) who contribute hands-on labor across the system. PP&amp;R reports 397,283 volunteer hours across its programs in FY2024–25.</x:v>
      </x:c>
      <x:c r="G34" s="12"/>
    </x:row>
    <x:row r="35" ht="55" customHeight="1">
      <x:c r="A35" s="8" t="str">
        <x:v>portland-parks-levy-2020</x:v>
      </x:c>
      <x:c r="B35" s="11" t="str">
        <x:v>Portland Parks Levy (2020)</x:v>
      </x:c>
      <x:c r="C35" s="11" t="str">
        <x:v>levy-infrastructure</x:v>
      </x:c>
      <x:c r="D35" s="11" t="str">
        <x:v>public-agency</x:v>
      </x:c>
      <x:c r="E35" s="11" t="str">
        <x:v>flagship</x:v>
      </x:c>
      <x:c r="F35" s="11" t="str">
        <x:v>The voter-approved local-option levy funds operations and equity-focused, partnership-delivered programs. It brings in roughly $50M per year; the renewed levy is projected at ~$84M in its first year. The partnership-delivered share is reported in the bureau's annual levy reports.</x:v>
      </x:c>
      <x:c r="G35" s="11"/>
    </x:row>
    <x:row r="36" ht="55" customHeight="1">
      <x:c r="A36" s="7" t="str">
        <x:v>friends-of-mt-tabor-park</x:v>
      </x:c>
      <x:c r="B36" s="12" t="str">
        <x:v>Friends of Mt. Tabor Park</x:v>
      </x:c>
      <x:c r="C36" s="12" t="str">
        <x:v>friends-group</x:v>
      </x:c>
      <x:c r="D36" s="12" t="str">
        <x:v>informal-volunteers</x:v>
      </x:c>
      <x:c r="E36" s="12" t="str">
        <x:v>micro</x:v>
      </x:c>
      <x:c r="F36" s="12" t="str">
        <x:v>Neighborhood volunteers who steward and advocate for Mt. Tabor Park. The report identifies the Mt. Tabor Visitor Center partnership.</x:v>
      </x:c>
      <x:c r="G36" s="12"/>
    </x:row>
    <x:row r="37" ht="55" customHeight="1">
      <x:c r="A37" s="8" t="str">
        <x:v>friends-of-powell-butte</x:v>
      </x:c>
      <x:c r="B37" s="11" t="str">
        <x:v>Friends of Powell Butte</x:v>
      </x:c>
      <x:c r="C37" s="11" t="str">
        <x:v>friends-group</x:v>
      </x:c>
      <x:c r="D37" s="11" t="str">
        <x:v>informal-volunteers</x:v>
      </x:c>
      <x:c r="E37" s="11" t="str">
        <x:v>micro</x:v>
      </x:c>
      <x:c r="F37" s="11" t="str">
        <x:v>Volunteer organization stewarding Powell Butte Nature Park, meeting monthly at the visitor center.</x:v>
      </x:c>
      <x:c r="G37" s="11"/>
    </x:row>
    <x:row r="38" ht="55" customHeight="1">
      <x:c r="A38" s="7" t="str">
        <x:v>friends-of-laurelhurst-park</x:v>
      </x:c>
      <x:c r="B38" s="12" t="str">
        <x:v>Friends of Laurelhurst Park</x:v>
      </x:c>
      <x:c r="C38" s="12" t="str">
        <x:v>friends-group</x:v>
      </x:c>
      <x:c r="D38" s="12" t="str">
        <x:v>informal-volunteers</x:v>
      </x:c>
      <x:c r="E38" s="12" t="str">
        <x:v>micro</x:v>
      </x:c>
      <x:c r="F38" s="12" t="str">
        <x:v>Neighborhood friends group supporting Laurelhurst Park with PP&amp;R.</x:v>
      </x:c>
      <x:c r="G38" s="12"/>
    </x:row>
    <x:row r="39" ht="55" customHeight="1">
      <x:c r="A39" s="8" t="str">
        <x:v>friends-of-couch-playground</x:v>
      </x:c>
      <x:c r="B39" s="11" t="str">
        <x:v>Friends of Couch Playground</x:v>
      </x:c>
      <x:c r="C39" s="11" t="str">
        <x:v>friends-group</x:v>
      </x:c>
      <x:c r="D39" s="11" t="str">
        <x:v>informal-volunteers</x:v>
      </x:c>
      <x:c r="E39" s="11" t="str">
        <x:v>small</x:v>
      </x:c>
      <x:c r="F39" s="11" t="str">
        <x:v>Helped fund the new inclusive playground and plaza at Couch Park with PP&amp;R and Harper's Playground.</x:v>
      </x:c>
      <x:c r="G39" s="11"/>
    </x:row>
    <x:row r="40" ht="55" customHeight="1">
      <x:c r="A40" s="7" t="str">
        <x:v>friends-of-crystal-springs</x:v>
      </x:c>
      <x:c r="B40" s="12" t="str">
        <x:v>Friends of Crystal Springs Rhododendron Garden</x:v>
      </x:c>
      <x:c r="C40" s="12" t="str">
        <x:v>friends-group</x:v>
      </x:c>
      <x:c r="D40" s="12" t="str">
        <x:v>registered-nonprofit</x:v>
      </x:c>
      <x:c r="E40" s="12" t="str">
        <x:v>small</x:v>
      </x:c>
      <x:c r="F40" s="12" t="str">
        <x:v>Volunteers (with the Portland chapter of the American Rhododendron Society) who steward Crystal Springs Rhododendron Garden and help run its admission model.</x:v>
      </x:c>
      <x:c r="G40" s="12"/>
    </x:row>
    <x:row r="41" ht="55" customHeight="1">
      <x:c r="A41" s="8" t="str">
        <x:v>friends-of-marquam-nature-park</x:v>
      </x:c>
      <x:c r="B41" s="11" t="str">
        <x:v>Friends of Marquam Nature Park</x:v>
      </x:c>
      <x:c r="C41" s="11" t="str">
        <x:v>friends-group</x:v>
      </x:c>
      <x:c r="D41" s="11" t="str">
        <x:v>informal-volunteers</x:v>
      </x:c>
      <x:c r="E41" s="11" t="str">
        <x:v>micro</x:v>
      </x:c>
      <x:c r="F41" s="11" t="str">
        <x:v>Volunteers stewarding Marquam Nature Park and its trails.</x:v>
      </x:c>
      <x:c r="G41" s="11"/>
    </x:row>
    <x:row r="42" ht="55" customHeight="1">
      <x:c r="A42" s="7" t="str">
        <x:v>friends-of-april-hill-park</x:v>
      </x:c>
      <x:c r="B42" s="12" t="str">
        <x:v>Friends of April Hill Park</x:v>
      </x:c>
      <x:c r="C42" s="12" t="str">
        <x:v>friends-group</x:v>
      </x:c>
      <x:c r="D42" s="12" t="str">
        <x:v>informal-volunteers</x:v>
      </x:c>
      <x:c r="E42" s="12" t="str">
        <x:v>micro</x:v>
      </x:c>
      <x:c r="F42" s="12" t="str">
        <x:v>Neighborhood volunteers stewarding April Hill Park and its wetland.</x:v>
      </x:c>
      <x:c r="G42" s="12"/>
    </x:row>
    <x:row r="43" ht="55" customHeight="1">
      <x:c r="A43" s="8" t="str">
        <x:v>friends-of-columbia-park</x:v>
      </x:c>
      <x:c r="B43" s="11" t="str">
        <x:v>Friends of Columbia Park</x:v>
      </x:c>
      <x:c r="C43" s="11" t="str">
        <x:v>friends-group</x:v>
      </x:c>
      <x:c r="D43" s="11" t="str">
        <x:v>informal-volunteers</x:v>
      </x:c>
      <x:c r="E43" s="11" t="str">
        <x:v>micro</x:v>
      </x:c>
      <x:c r="F43" s="11" t="str">
        <x:v>Neighborhood friends group for Columbia Park in North Portland.</x:v>
      </x:c>
      <x:c r="G43" s="11"/>
    </x:row>
    <x:row r="44" ht="55" customHeight="1">
      <x:c r="A44" s="7" t="str">
        <x:v>friends-of-wilshire-park</x:v>
      </x:c>
      <x:c r="B44" s="12" t="str">
        <x:v>Friends of Wilshire Park</x:v>
      </x:c>
      <x:c r="C44" s="12" t="str">
        <x:v>friends-group</x:v>
      </x:c>
      <x:c r="D44" s="12" t="str">
        <x:v>informal-volunteers</x:v>
      </x:c>
      <x:c r="E44" s="12" t="str">
        <x:v>micro</x:v>
      </x:c>
      <x:c r="F44" s="12" t="str">
        <x:v>Neighborhood volunteers caring for Wilshire Park in Northeast Portland. The report recognizes play-piece replacement fundraising; cost and completion status are not supplied.</x:v>
      </x:c>
      <x:c r="G44" s="12"/>
    </x:row>
    <x:row r="45" ht="55" customHeight="1">
      <x:c r="A45" s="8" t="str">
        <x:v>friends-of-spring-garden-park</x:v>
      </x:c>
      <x:c r="B45" s="11" t="str">
        <x:v>Friends of Spring Garden Park</x:v>
      </x:c>
      <x:c r="C45" s="11" t="str">
        <x:v>friends-group</x:v>
      </x:c>
      <x:c r="D45" s="11" t="str">
        <x:v>informal-volunteers</x:v>
      </x:c>
      <x:c r="E45" s="11" t="str">
        <x:v>micro</x:v>
      </x:c>
      <x:c r="F45" s="11" t="str">
        <x:v>Played a key role in cultivating and stewarding Spring Garden Park in Southwest Portland.</x:v>
      </x:c>
      <x:c r="G45" s="11"/>
    </x:row>
    <x:row r="46" ht="55" customHeight="1">
      <x:c r="A46" s="7" t="str">
        <x:v>friends-of-oaks-bottom</x:v>
      </x:c>
      <x:c r="B46" s="12" t="str">
        <x:v>Friends of Oaks Bottom</x:v>
      </x:c>
      <x:c r="C46" s="12" t="str">
        <x:v>friends-group</x:v>
      </x:c>
      <x:c r="D46" s="12" t="str">
        <x:v>informal-volunteers</x:v>
      </x:c>
      <x:c r="E46" s="12" t="str">
        <x:v>micro</x:v>
      </x:c>
      <x:c r="F46" s="12" t="str">
        <x:v>Volunteer organization stewarding the Oaks Bottom Wildlife Refuge.</x:v>
      </x:c>
      <x:c r="G46" s="12"/>
    </x:row>
    <x:row r="47" ht="55" customHeight="1">
      <x:c r="A47" s="8" t="str">
        <x:v>friends-of-south-park-blocks</x:v>
      </x:c>
      <x:c r="B47" s="11" t="str">
        <x:v>Friends of South Park Blocks</x:v>
      </x:c>
      <x:c r="C47" s="11" t="str">
        <x:v>friends-group</x:v>
      </x:c>
      <x:c r="D47" s="11" t="str">
        <x:v>informal-volunteers</x:v>
      </x:c>
      <x:c r="E47" s="11" t="str">
        <x:v>micro</x:v>
      </x:c>
      <x:c r="F47" s="11" t="str">
        <x:v>Stewards and advocates for the historic South Park Blocks downtown.</x:v>
      </x:c>
      <x:c r="G47" s="11"/>
    </x:row>
    <x:row r="48" ht="55" customHeight="1">
      <x:c r="A48" s="7" t="str">
        <x:v>friends-of-pier-park</x:v>
      </x:c>
      <x:c r="B48" s="12" t="str">
        <x:v>Friends of Pier Park</x:v>
      </x:c>
      <x:c r="C48" s="12" t="str">
        <x:v>friends-group</x:v>
      </x:c>
      <x:c r="D48" s="12" t="str">
        <x:v>informal-volunteers</x:v>
      </x:c>
      <x:c r="E48" s="12" t="str">
        <x:v>small</x:v>
      </x:c>
      <x:c r="F48" s="12" t="str">
        <x:v>Stewards the 85-acre Pier Park in North Portland and builds inclusive programming with translators for immigrant and low-income families. A repeat Portland Parks Foundation Small Grant recipient (2021, 2023, 2024).</x:v>
      </x:c>
      <x:c r="G48" s="12"/>
    </x:row>
    <x:row r="49" ht="55" customHeight="1">
      <x:c r="A49" s="8" t="str">
        <x:v>friends-of-brooklyn-park</x:v>
      </x:c>
      <x:c r="B49" s="11" t="str">
        <x:v>Friends of Brooklyn Park</x:v>
      </x:c>
      <x:c r="C49" s="11" t="str">
        <x:v>friends-group</x:v>
      </x:c>
      <x:c r="D49" s="11" t="str">
        <x:v>informal-volunteers</x:v>
      </x:c>
      <x:c r="E49" s="11" t="str">
        <x:v>micro</x:v>
      </x:c>
      <x:c r="F49" s="11" t="str">
        <x:v>Neighborhood friends group for Brooklyn Park in Southeast Portland; Portland Parks Foundation Small Grant recipient (2023).</x:v>
      </x:c>
      <x:c r="G49" s="11"/>
    </x:row>
    <x:row r="50" ht="55" customHeight="1">
      <x:c r="A50" s="7" t="str">
        <x:v>friends-of-gateway-green</x:v>
      </x:c>
      <x:c r="B50" s="12" t="str">
        <x:v>Friends of Gateway Green</x:v>
      </x:c>
      <x:c r="C50" s="12" t="str">
        <x:v>friends-group</x:v>
      </x:c>
      <x:c r="D50" s="12" t="str">
        <x:v>registered-nonprofit</x:v>
      </x:c>
      <x:c r="E50" s="12" t="str">
        <x:v>small</x:v>
      </x:c>
      <x:c r="F50" s="12" t="str">
        <x:v>Volunteers who helped create and steward Gateway Green, a bike park and natural area in East Portland; Portland Parks Foundation Small Grant recipient (2022). The report recognizes community-led building with Northwest Trail Alliance.</x:v>
      </x:c>
      <x:c r="G50" s="12"/>
    </x:row>
    <x:row r="51" ht="55" customHeight="1">
      <x:c r="A51" s="8" t="str">
        <x:v>vernon-neighborhood-association</x:v>
      </x:c>
      <x:c r="B51" s="11" t="str">
        <x:v>Vernon Neighborhood Association</x:v>
      </x:c>
      <x:c r="C51" s="11" t="str">
        <x:v>friends-group</x:v>
      </x:c>
      <x:c r="D51" s="11" t="str">
        <x:v>informal-volunteers</x:v>
      </x:c>
      <x:c r="E51" s="11" t="str">
        <x:v>micro</x:v>
      </x:c>
      <x:c r="F51" s="11" t="str">
        <x:v>Funded historian-led walking tours of Alberta Park exploring the cultural history of people of color in Northeast Portland; Portland Parks Foundation Small Grant recipient (2021).</x:v>
      </x:c>
      <x:c r="G51" s="11"/>
    </x:row>
    <x:row r="52" ht="55" customHeight="1">
      <x:c r="A52" s="7" t="str">
        <x:v>friends-of-peninsula-park-rose-garden</x:v>
      </x:c>
      <x:c r="B52" s="12" t="str">
        <x:v>Friends of Peninsula Park Rose Garden</x:v>
      </x:c>
      <x:c r="C52" s="12" t="str">
        <x:v>friends-group</x:v>
      </x:c>
      <x:c r="D52" s="12" t="str">
        <x:v>informal-volunteers</x:v>
      </x:c>
      <x:c r="E52" s="12" t="str">
        <x:v>small</x:v>
      </x:c>
      <x:c r="F52" s="12" t="str">
        <x:v>Volunteers stewarding the historic sunken rose garden at Peninsula Park, recognized through PPF's Parks Champion awards for advocacy and for diversifying the park's historical record.</x:v>
      </x:c>
      <x:c r="G52" s="12"/>
    </x:row>
    <x:row r="53" ht="55" customHeight="1">
      <x:c r="A53" s="8" t="str">
        <x:v>community-music-center-inc</x:v>
      </x:c>
      <x:c r="B53" s="11" t="str">
        <x:v>Community Music Center (CMC Inc.)</x:v>
      </x:c>
      <x:c r="C53" s="11" t="str">
        <x:v>conservancy-operating-nonprofit</x:v>
      </x:c>
      <x:c r="D53" s="11" t="str">
        <x:v>operating-agreement</x:v>
      </x:c>
      <x:c r="E53" s="11" t="str">
        <x:v>small</x:v>
      </x:c>
      <x:c r="F53" s="11" t="str">
        <x:v>The nonprofit that co-stewards the city's Community Music Center, raising funds for need-based scholarships, equipment, and instrument collections to keep music education accessible. Named in the FY2025–26 site-partner roster.</x:v>
      </x:c>
      <x:c r="G53" s="11"/>
    </x:row>
    <x:row r="54" ht="55" customHeight="1">
      <x:c r="A54" s="7" t="str">
        <x:v>trail-keepers-of-oregon</x:v>
      </x:c>
      <x:c r="B54" s="12" t="str">
        <x:v>Trail Keepers of Oregon</x:v>
      </x:c>
      <x:c r="C54" s="12" t="str">
        <x:v>programmatic-nonprofit</x:v>
      </x:c>
      <x:c r="D54" s="12" t="str">
        <x:v>registered-nonprofit</x:v>
      </x:c>
      <x:c r="E54" s="12" t="str">
        <x:v>small</x:v>
      </x:c>
      <x:c r="F54" s="12" t="str">
        <x:v>Volunteer trail-stewardship nonprofit that builds and maintains trails across Portland parks and natural areas, including Forest Park, Powell Butte, and Oaks Bottom.</x:v>
      </x:c>
      <x:c r="G54" s="12"/>
    </x:row>
    <x:row r="55" ht="55" customHeight="1">
      <x:c r="A55" s="8" t="str">
        <x:v>columbia-slough-watershed-council</x:v>
      </x:c>
      <x:c r="B55" s="11" t="str">
        <x:v>Columbia Slough Watershed Council</x:v>
      </x:c>
      <x:c r="C55" s="11" t="str">
        <x:v>garden-natural-network</x:v>
      </x:c>
      <x:c r="D55" s="11" t="str">
        <x:v>registered-nonprofit</x:v>
      </x:c>
      <x:c r="E55" s="11" t="str">
        <x:v>small</x:v>
      </x:c>
      <x:c r="F55" s="11" t="str">
        <x:v>Watershed council running bilingual paddle programs and stewardship along the Columbia Slough, serving Latinx and Slavic communities; repeat Portland Parks Foundation grantee (2020, 2023).</x:v>
      </x:c>
      <x:c r="G55" s="11"/>
    </x:row>
    <x:row r="56" ht="55" customHeight="1">
      <x:c r="A56" s="7" t="str">
        <x:v>our-village-gardens</x:v>
      </x:c>
      <x:c r="B56" s="12" t="str">
        <x:v>Our Village Gardens</x:v>
      </x:c>
      <x:c r="C56" s="12" t="str">
        <x:v>garden-natural-network</x:v>
      </x:c>
      <x:c r="D56" s="12" t="str">
        <x:v>registered-nonprofit</x:v>
      </x:c>
      <x:c r="E56" s="12" t="str">
        <x:v>small</x:v>
      </x:c>
      <x:c r="F56" s="12" t="str">
        <x:v>Develops multilingual garden programming for immigrant and refugee families at the Seeds of Harmony Community Garden in New Columbia; Portland Parks Foundation grantee and 2026 Joey Pope honoree.</x:v>
      </x:c>
      <x:c r="G56" s="12"/>
    </x:row>
    <x:row r="57" ht="55" customHeight="1">
      <x:c r="A57" s="8" t="str">
        <x:v>portland-fruit-tree-project</x:v>
      </x:c>
      <x:c r="B57" s="11" t="str">
        <x:v>Portland Fruit Tree Project</x:v>
      </x:c>
      <x:c r="C57" s="11" t="str">
        <x:v>garden-natural-network</x:v>
      </x:c>
      <x:c r="D57" s="11" t="str">
        <x:v>registered-nonprofit</x:v>
      </x:c>
      <x:c r="E57" s="11" t="str">
        <x:v>small</x:v>
      </x:c>
      <x:c r="F57" s="11" t="str">
        <x:v>Increases equitable access to fresh food by empowering neighbors to share the harvest and care of city-grown produce; Portland Parks Foundation grantee (2021).</x:v>
      </x:c>
      <x:c r="G57" s="11"/>
    </x:row>
    <x:row r="58" ht="55" customHeight="1">
      <x:c r="A58" s="7" t="str">
        <x:v>people-of-color-outdoors</x:v>
      </x:c>
      <x:c r="B58" s="12" t="str">
        <x:v>People of Color Outdoors</x:v>
      </x:c>
      <x:c r="C58" s="12" t="str">
        <x:v>programmatic-nonprofit</x:v>
      </x:c>
      <x:c r="D58" s="12" t="str">
        <x:v>registered-nonprofit</x:v>
      </x:c>
      <x:c r="E58" s="12" t="str">
        <x:v>small</x:v>
      </x:c>
      <x:c r="F58" s="12" t="str">
        <x:v>Connects Black, Indigenous, and people of color of all ages to the outdoors through community outings and environmental education; repeat Portland Parks Foundation grantee (2021, 2024).</x:v>
      </x:c>
      <x:c r="G58" s="12"/>
    </x:row>
    <x:row r="59" ht="55" customHeight="1">
      <x:c r="A59" s="8" t="str">
        <x:v>latino-network</x:v>
      </x:c>
      <x:c r="B59" s="11" t="str">
        <x:v>Latino Network</x:v>
      </x:c>
      <x:c r="C59" s="11" t="str">
        <x:v>programmatic-nonprofit</x:v>
      </x:c>
      <x:c r="D59" s="11" t="str">
        <x:v>registered-nonprofit</x:v>
      </x:c>
      <x:c r="E59" s="11" t="str">
        <x:v>mid</x:v>
      </x:c>
      <x:c r="F59" s="11" t="str">
        <x:v>Community-serving organization delivering programming that promotes equity and access for Latino families in parks and recreation; Portland Parks Foundation grantee (2024).</x:v>
      </x:c>
      <x:c r="G59" s="11"/>
    </x:row>
    <x:row r="60" ht="55" customHeight="1">
      <x:c r="A60" s="7" t="str">
        <x:v>disabled-hikers</x:v>
      </x:c>
      <x:c r="B60" s="12" t="str">
        <x:v>Disabled Hikers</x:v>
      </x:c>
      <x:c r="C60" s="12" t="str">
        <x:v>programmatic-nonprofit</x:v>
      </x:c>
      <x:c r="D60" s="12" t="str">
        <x:v>registered-nonprofit</x:v>
      </x:c>
      <x:c r="E60" s="12" t="str">
        <x:v>small</x:v>
      </x:c>
      <x:c r="F60" s="12" t="str">
        <x:v>Builds disability-led outdoor access and detailed trail information so people with disabilities can use parks and natural areas; Portland Parks Foundation grantee (2024).</x:v>
      </x:c>
      <x:c r="G60" s="12"/>
    </x:row>
    <x:row r="61" ht="55" customHeight="1">
      <x:c r="A61" s="8" t="str">
        <x:v>wild-diversity</x:v>
      </x:c>
      <x:c r="B61" s="11" t="str">
        <x:v>Wild Diversity</x:v>
      </x:c>
      <x:c r="C61" s="11" t="str">
        <x:v>programmatic-nonprofit</x:v>
      </x:c>
      <x:c r="D61" s="11" t="str">
        <x:v>registered-nonprofit</x:v>
      </x:c>
      <x:c r="E61" s="11" t="str">
        <x:v>small</x:v>
      </x:c>
      <x:c r="F61" s="11" t="str">
        <x:v>Creates outdoor experiences and education centering BIPOC and LGBTQ+ communities; Portland Parks Foundation grantee (2022).</x:v>
      </x:c>
      <x:c r="G61" s="11"/>
    </x:row>
    <x:row r="62" ht="55" customHeight="1">
      <x:c r="A62" s="7" t="str">
        <x:v>verde</x:v>
      </x:c>
      <x:c r="B62" s="12" t="str">
        <x:v>Verde</x:v>
      </x:c>
      <x:c r="C62" s="12" t="str">
        <x:v>programmatic-nonprofit</x:v>
      </x:c>
      <x:c r="D62" s="12" t="str">
        <x:v>registered-nonprofit</x:v>
      </x:c>
      <x:c r="E62" s="12" t="str">
        <x:v>mid</x:v>
      </x:c>
      <x:c r="F62" s="12" t="str">
        <x:v>Cully-based environmental-justice organization building green infrastructure, jobs, and access for low-income communities and communities of color; Portland Parks Foundation grantee (2022).</x:v>
      </x:c>
      <x:c r="G62" s="12"/>
    </x:row>
    <x:row r="63" ht="55" customHeight="1">
      <x:c r="A63" s="8" t="str">
        <x:v>willamette-riverkeeper</x:v>
      </x:c>
      <x:c r="B63" s="11" t="str">
        <x:v>Willamette Riverkeeper</x:v>
      </x:c>
      <x:c r="C63" s="11" t="str">
        <x:v>programmatic-nonprofit</x:v>
      </x:c>
      <x:c r="D63" s="11" t="str">
        <x:v>registered-nonprofit</x:v>
      </x:c>
      <x:c r="E63" s="11" t="str">
        <x:v>small</x:v>
      </x:c>
      <x:c r="F63" s="11" t="str">
        <x:v>Environmental stewardship and watershed protection along the Willamette River and its riverfront parks; Portland Parks Foundation grantee (2022).</x:v>
      </x:c>
      <x:c r="G63" s="11"/>
    </x:row>
    <x:row r="64" ht="55" customHeight="1">
      <x:c r="A64" s="7" t="str">
        <x:v>urban-nature-partners-pdx</x:v>
      </x:c>
      <x:c r="B64" s="12" t="str">
        <x:v>Urban Nature Partners PDX</x:v>
      </x:c>
      <x:c r="C64" s="12" t="str">
        <x:v>programmatic-nonprofit</x:v>
      </x:c>
      <x:c r="D64" s="12" t="str">
        <x:v>registered-nonprofit</x:v>
      </x:c>
      <x:c r="E64" s="12" t="str">
        <x:v>small</x:v>
      </x:c>
      <x:c r="F64" s="12" t="str">
        <x:v>Pairs youth from underserved neighborhoods with mentors for regular time in nature and parks; Portland Parks Foundation grantee (2022).</x:v>
      </x:c>
      <x:c r="G64" s="12"/>
    </x:row>
    <x:row r="65" ht="55" customHeight="1">
      <x:c r="A65" s="8" t="str">
        <x:v>city-repair-project</x:v>
      </x:c>
      <x:c r="B65" s="11" t="str">
        <x:v>The City Repair Project</x:v>
      </x:c>
      <x:c r="C65" s="11" t="str">
        <x:v>programmatic-nonprofit</x:v>
      </x:c>
      <x:c r="D65" s="11" t="str">
        <x:v>registered-nonprofit</x:v>
      </x:c>
      <x:c r="E65" s="11" t="str">
        <x:v>small</x:v>
      </x:c>
      <x:c r="F65" s="11" t="str">
        <x:v>Supports community-led ecological placemaking and permaculture trainings in public space, with paid roles for BIPOC and LGBTQ+ teachers; Portland Parks Foundation grantee (2020).</x:v>
      </x:c>
      <x:c r="G65" s="11"/>
    </x:row>
    <x:row r="66" ht="55" customHeight="1">
      <x:c r="A66" s="7" t="str">
        <x:v>green-lents</x:v>
      </x:c>
      <x:c r="B66" s="12" t="str">
        <x:v>Green Lents</x:v>
      </x:c>
      <x:c r="C66" s="12" t="str">
        <x:v>programmatic-nonprofit</x:v>
      </x:c>
      <x:c r="D66" s="12" t="str">
        <x:v>registered-nonprofit</x:v>
      </x:c>
      <x:c r="E66" s="12" t="str">
        <x:v>small</x:v>
      </x:c>
      <x:c r="F66" s="12" t="str">
        <x:v>Cultivates resilient communities in the Lents neighborhood through environmental engagement — pollinator habitat, street trees, and tool libraries — addressing gentrification and climate impacts; repeat Portland Parks Foundation grantee (2021, 2025).</x:v>
      </x:c>
      <x:c r="G66" s="12"/>
    </x:row>
    <x:row r="67" ht="55" customHeight="1">
      <x:c r="A67" s="8" t="str">
        <x:v>smart-reading</x:v>
      </x:c>
      <x:c r="B67" s="11" t="str">
        <x:v>SMART Reading</x:v>
      </x:c>
      <x:c r="C67" s="11" t="str">
        <x:v>programmatic-nonprofit</x:v>
      </x:c>
      <x:c r="D67" s="11" t="str">
        <x:v>registered-nonprofit</x:v>
      </x:c>
      <x:c r="E67" s="11" t="str">
        <x:v>mid</x:v>
      </x:c>
      <x:c r="F67" s="11" t="str">
        <x:v>Delivers children's literacy programming, including outdoor and park-based reading; repeat Portland Parks Foundation grantee (2022, 2024).</x:v>
      </x:c>
      <x:c r="G67" s="11"/>
    </x:row>
    <x:row r="68" ht="55" customHeight="1">
      <x:c r="A68" s="7" t="str">
        <x:v>us-bank</x:v>
      </x:c>
      <x:c r="B68" s="12" t="str">
        <x:v>U.S. Bank</x:v>
      </x:c>
      <x:c r="C68" s="12" t="str">
        <x:v>corporate-capital</x:v>
      </x:c>
      <x:c r="D68" s="12" t="str">
        <x:v>corporation</x:v>
      </x:c>
      <x:c r="E68" s="12" t="str">
        <x:v>mid</x:v>
      </x:c>
      <x:c r="F68" s="12" t="str">
        <x:v>Financial-institution sponsor of the Parks Champions volunteer-recognition awards (a role since taken on by PGE), supporting recognition of park stewards citywide.</x:v>
      </x:c>
      <x:c r="G68" s="12"/>
    </x:row>
    <x:row r="69" ht="55" customHeight="1">
      <x:c r="A69" s="8" t="str">
        <x:v>friends-of-gabriel-park</x:v>
      </x:c>
      <x:c r="B69" s="11" t="str">
        <x:v>Friends of Gabriel Park</x:v>
      </x:c>
      <x:c r="C69" s="11" t="str">
        <x:v>friends-group</x:v>
      </x:c>
      <x:c r="D69" s="11" t="str">
        <x:v>informal-volunteers</x:v>
      </x:c>
      <x:c r="E69" s="11" t="str">
        <x:v>small</x:v>
      </x:c>
      <x:c r="F69" s="11" t="str">
        <x:v>Neighborhood volunteers stewarding Gabriel Park, a large multi-use park in Southwest Portland, with restoration and trail work.</x:v>
      </x:c>
      <x:c r="G69" s="11"/>
    </x:row>
    <x:row r="70" ht="55" customHeight="1">
      <x:c r="A70" s="7" t="str">
        <x:v>rose-city-park-playground-project</x:v>
      </x:c>
      <x:c r="B70" s="12" t="str">
        <x:v>Rose City Park Playground Project</x:v>
      </x:c>
      <x:c r="C70" s="12" t="str">
        <x:v>friends-group</x:v>
      </x:c>
      <x:c r="D70" s="12" t="str">
        <x:v>informal-volunteers</x:v>
      </x:c>
      <x:c r="E70" s="12" t="str">
        <x:v>small</x:v>
      </x:c>
      <x:c r="F70" s="12" t="str">
        <x:v>Community-led capital effort, completed in 2023 with the Portland Parks Foundation, that built a new playground at Rose City Park.</x:v>
      </x:c>
      <x:c r="G70" s="12"/>
    </x:row>
    <x:row r="71" ht="55" customHeight="1">
      <x:c r="A71" s="8" t="str">
        <x:v>friends-of-international-rose-test-garden</x:v>
      </x:c>
      <x:c r="B71" s="11" t="str">
        <x:v>Friends of International Rose Test Garden</x:v>
      </x:c>
      <x:c r="C71" s="11" t="str">
        <x:v>friends-group</x:v>
      </x:c>
      <x:c r="D71" s="11" t="str">
        <x:v>informal-volunteers</x:v>
      </x:c>
      <x:c r="E71" s="11" t="str">
        <x:v>small</x:v>
      </x:c>
      <x:c r="F71" s="11" t="str">
        <x:v>Volunteers supporting the International Rose Test Garden in Washington Park, where gardeners help thousands of rose bushes bloom each season.</x:v>
      </x:c>
      <x:c r="G71" s="11"/>
    </x:row>
    <x:row r="72" ht="55" customHeight="1">
      <x:c r="A72" s="7" t="str">
        <x:v>friends-of-ladds-addition-gardens</x:v>
      </x:c>
      <x:c r="B72" s="12" t="str">
        <x:v>Friends of Ladd's Addition Gardens</x:v>
      </x:c>
      <x:c r="C72" s="12" t="str">
        <x:v>friends-group</x:v>
      </x:c>
      <x:c r="D72" s="12" t="str">
        <x:v>informal-volunteers</x:v>
      </x:c>
      <x:c r="E72" s="12" t="str">
        <x:v>micro</x:v>
      </x:c>
      <x:c r="F72" s="12" t="str">
        <x:v>Neighborhood volunteers who steward the historic diamond rose gardens and central circle of Ladd's Addition.</x:v>
      </x:c>
      <x:c r="G72" s="12"/>
    </x:row>
    <x:row r="73" ht="55" customHeight="1">
      <x:c r="A73" s="8" t="str">
        <x:v>friends-of-tryon-creek</x:v>
      </x:c>
      <x:c r="B73" s="11" t="str">
        <x:v>Friends of Tryon Creek</x:v>
      </x:c>
      <x:c r="C73" s="11" t="str">
        <x:v>friends-group</x:v>
      </x:c>
      <x:c r="D73" s="11" t="str">
        <x:v>registered-nonprofit</x:v>
      </x:c>
      <x:c r="E73" s="11" t="str">
        <x:v>mid</x:v>
      </x:c>
      <x:c r="F73" s="11" t="str">
        <x:v>A staffed nonprofit that runs the nature center and education programs at Tryon Creek State Natural Area on Portland's southwest edge. Tryon Creek is Oregon State Parks land, outside the city park geometry, so it is not pinned to a mapped city park here.</x:v>
      </x:c>
      <x:c r="G73" s="11"/>
    </x:row>
    <x:row r="74" ht="55" customHeight="1">
      <x:c r="A74" s="7" t="str">
        <x:v>pioneer-courthouse-square-inc</x:v>
      </x:c>
      <x:c r="B74" s="12" t="str">
        <x:v>Pioneer Courthouse Square Inc.</x:v>
      </x:c>
      <x:c r="C74" s="12" t="str">
        <x:v>conservancy-operating-nonprofit</x:v>
      </x:c>
      <x:c r="D74" s="12" t="str">
        <x:v>operating-agreement</x:v>
      </x:c>
      <x:c r="E74" s="12" t="str">
        <x:v>large</x:v>
      </x:c>
      <x:c r="F74" s="12" t="str">
        <x:v>The nonprofit that operates and programs Pioneer Courthouse Square, Portland's downtown "living room," in partnership with the city.</x:v>
      </x:c>
      <x:c r="G74" s="12"/>
    </x:row>
    <x:row r="75" ht="55" customHeight="1">
      <x:c r="A75" s="8" t="str">
        <x:v>portland-timbers</x:v>
      </x:c>
      <x:c r="B75" s="11" t="str">
        <x:v>Portland Timbers (Operation Pitch Invasion)</x:v>
      </x:c>
      <x:c r="C75" s="11" t="str">
        <x:v>corporate-capital</x:v>
      </x:c>
      <x:c r="D75" s="11" t="str">
        <x:v>corporation</x:v>
      </x:c>
      <x:c r="E75" s="11" t="str">
        <x:v>mid</x:v>
      </x:c>
      <x:c r="F75" s="11" t="str">
        <x:v>The Timbers, with MLS Works, adidas, and Wells Fargo, donated the futsal court at Montavilla Park — part of a citywide effort to build small-sided soccer courts in parks.</x:v>
      </x:c>
      <x:c r="G75" s="11"/>
    </x:row>
    <x:row r="76" ht="55" customHeight="1">
      <x:c r="A76" s="7" t="str">
        <x:v>bank-of-america</x:v>
      </x:c>
      <x:c r="B76" s="12" t="str">
        <x:v>Bank of America</x:v>
      </x:c>
      <x:c r="C76" s="12" t="str">
        <x:v>corporate-capital</x:v>
      </x:c>
      <x:c r="D76" s="12" t="str">
        <x:v>corporation</x:v>
      </x:c>
      <x:c r="E76" s="12" t="str">
        <x:v>mid</x:v>
      </x:c>
      <x:c r="F76" s="12" t="str">
        <x:v>A Neighborhood Builders grant supplied $110,000 to PP&amp;R for a mobile play truck serving Summer Free For All sites across the city.</x:v>
      </x:c>
      <x:c r="G76" s="12"/>
    </x:row>
    <x:row r="77" ht="55" customHeight="1">
      <x:c r="A77" s="8" t="str">
        <x:v>solve</x:v>
      </x:c>
      <x:c r="B77" s="11" t="str">
        <x:v>SOLVE</x:v>
      </x:c>
      <x:c r="C77" s="11" t="str">
        <x:v>programmatic-nonprofit</x:v>
      </x:c>
      <x:c r="D77" s="11" t="str">
        <x:v>registered-nonprofit</x:v>
      </x:c>
      <x:c r="E77" s="11" t="str">
        <x:v>mid</x:v>
      </x:c>
      <x:c r="F77" s="11" t="str">
        <x:v>A statewide environmental nonprofit that mobilizes volunteers for cleanups and litter removal across Portland parks and natural areas.</x:v>
      </x:c>
      <x:c r="G77" s="11"/>
    </x:row>
    <x:row r="78" ht="55" customHeight="1">
      <x:c r="A78" s="7" t="str">
        <x:v>no-ivy-league</x:v>
      </x:c>
      <x:c r="B78" s="12" t="str">
        <x:v>No Ivy League</x:v>
      </x:c>
      <x:c r="C78" s="12" t="str">
        <x:v>programmatic-nonprofit</x:v>
      </x:c>
      <x:c r="D78" s="12" t="str">
        <x:v>informal-volunteers</x:v>
      </x:c>
      <x:c r="E78" s="12" t="str">
        <x:v>small</x:v>
      </x:c>
      <x:c r="F78" s="12" t="str">
        <x:v>A long-running PP&amp;R-supported volunteer program focused on removing invasive English ivy and restoring native habitat, centered on Forest Park.</x:v>
      </x:c>
      <x:c r="G78" s="12"/>
    </x:row>
    <x:row r="79" ht="55" customHeight="1">
      <x:c r="A79" s="8" t="str">
        <x:v>bird-alliance-of-oregon</x:v>
      </x:c>
      <x:c r="B79" s="11" t="str">
        <x:v>Bird Alliance of Oregon (formerly Audubon Society of Portland)</x:v>
      </x:c>
      <x:c r="C79" s="11" t="str">
        <x:v>programmatic-nonprofit</x:v>
      </x:c>
      <x:c r="D79" s="11" t="str">
        <x:v>registered-nonprofit</x:v>
      </x:c>
      <x:c r="E79" s="11" t="str">
        <x:v>large</x:v>
      </x:c>
      <x:c r="F79" s="11" t="str">
        <x:v>A major conservation nonprofit partnering on natural-area stewardship, wildlife habitat, and environmental education across Portland parks.</x:v>
      </x:c>
      <x:c r="G79" s="11"/>
    </x:row>
    <x:row r="80" ht="55" customHeight="1">
      <x:c r="A80" s="7" t="str">
        <x:v>trackers-earth</x:v>
      </x:c>
      <x:c r="B80" s="12" t="str">
        <x:v>Trackers Earth</x:v>
      </x:c>
      <x:c r="C80" s="12" t="str">
        <x:v>programmatic-nonprofit</x:v>
      </x:c>
      <x:c r="D80" s="12" t="str">
        <x:v>registered-nonprofit</x:v>
      </x:c>
      <x:c r="E80" s="12" t="str">
        <x:v>small</x:v>
      </x:c>
      <x:c r="F80" s="12" t="str">
        <x:v>Runs outdoor education and nature camps for youth on park and natural-area land.</x:v>
      </x:c>
      <x:c r="G80" s="12"/>
    </x:row>
    <x:row r="81" ht="55" customHeight="1">
      <x:c r="A81" s="8" t="str">
        <x:v>black-parent-initiative</x:v>
      </x:c>
      <x:c r="B81" s="11" t="str">
        <x:v>Black Parent Initiative</x:v>
      </x:c>
      <x:c r="C81" s="11" t="str">
        <x:v>programmatic-nonprofit</x:v>
      </x:c>
      <x:c r="D81" s="11" t="str">
        <x:v>registered-nonprofit</x:v>
      </x:c>
      <x:c r="E81" s="11" t="str">
        <x:v>mid</x:v>
      </x:c>
      <x:c r="F81" s="11" t="str">
        <x:v>A community organization serving Black families that delivers park- and nature-based programming; Portland Parks Foundation grantee.</x:v>
      </x:c>
      <x:c r="G81" s="11"/>
    </x:row>
    <x:row r="82" ht="55" customHeight="1">
      <x:c r="A82" s="7" t="str">
        <x:v>pacific-refugee-support-group</x:v>
      </x:c>
      <x:c r="B82" s="12" t="str">
        <x:v>Pacific Refugee Support Group</x:v>
      </x:c>
      <x:c r="C82" s="12" t="str">
        <x:v>programmatic-nonprofit</x:v>
      </x:c>
      <x:c r="D82" s="12" t="str">
        <x:v>registered-nonprofit</x:v>
      </x:c>
      <x:c r="E82" s="12" t="str">
        <x:v>small</x:v>
      </x:c>
      <x:c r="F82" s="12" t="str">
        <x:v>Connects immigrant and refugee communities to parks and the outdoors through culturally-specific programming.</x:v>
      </x:c>
      <x:c r="G82" s="12"/>
    </x:row>
    <x:row r="83" ht="55" customHeight="1">
      <x:c r="A83" s="8" t="str">
        <x:v>multnomah-county</x:v>
      </x:c>
      <x:c r="B83" s="11" t="str">
        <x:v>Multnomah County</x:v>
      </x:c>
      <x:c r="C83" s="11" t="str">
        <x:v>intergovernmental</x:v>
      </x:c>
      <x:c r="D83" s="11" t="str">
        <x:v>public-agency</x:v>
      </x:c>
      <x:c r="E83" s="11" t="str">
        <x:v>large</x:v>
      </x:c>
      <x:c r="F83" s="11" t="str">
        <x:v>County partner on health, youth (SUN Community Schools), and shared-land coordination touching parks across the city.</x:v>
      </x:c>
      <x:c r="G83" s="11"/>
    </x:row>
    <x:row r="84" ht="55" customHeight="1">
      <x:c r="A84" s="7" t="str">
        <x:v>us-forest-service</x:v>
      </x:c>
      <x:c r="B84" s="12" t="str">
        <x:v>U.S. Forest Service</x:v>
      </x:c>
      <x:c r="C84" s="12" t="str">
        <x:v>intergovernmental</x:v>
      </x:c>
      <x:c r="D84" s="12" t="str">
        <x:v>public-agency</x:v>
      </x:c>
      <x:c r="E84" s="12" t="str">
        <x:v>large</x:v>
      </x:c>
      <x:c r="F84" s="12" t="str">
        <x:v>Federal partner coordinating on forest health and management along Forest Park's edges and the broader urban-forest interface.</x:v>
      </x:c>
      <x:c r="G84" s="12"/>
    </x:row>
    <x:row r="85" ht="55" customHeight="1">
      <x:c r="A85" s="8" t="str">
        <x:v>project-connect</x:v>
      </x:c>
      <x:c r="B85" s="11" t="str">
        <x:v>Project Connect (2020 Parks Levy)</x:v>
      </x:c>
      <x:c r="C85" s="11" t="str">
        <x:v>levy-infrastructure</x:v>
      </x:c>
      <x:c r="D85" s="11" t="str">
        <x:v>public-agency</x:v>
      </x:c>
      <x:c r="E85" s="11" t="str">
        <x:v>mid</x:v>
      </x:c>
      <x:c r="F85" s="11" t="str">
        <x:v>A 2020 Parks Levy-funded program that centers equity in PP&amp;R's community engagement and outreach, delivered with partner organizations.</x:v>
      </x:c>
      <x:c r="G85" s="11"/>
    </x:row>
    <x:row r="86" ht="55" customHeight="1">
      <x:c r="A86" s="7" t="str">
        <x:v>youth-conservation-crew</x:v>
      </x:c>
      <x:c r="B86" s="12" t="str">
        <x:v>Youth Conservation Crew (2020 Parks Levy)</x:v>
      </x:c>
      <x:c r="C86" s="12" t="str">
        <x:v>levy-infrastructure</x:v>
      </x:c>
      <x:c r="D86" s="12" t="str">
        <x:v>public-agency</x:v>
      </x:c>
      <x:c r="E86" s="12" t="str">
        <x:v>mid</x:v>
      </x:c>
      <x:c r="F86" s="12" t="str">
        <x:v>A levy-funded youth crew that pays young people to do conservation and stewardship work in parks and natural areas, with an equity and workforce-development focus.</x:v>
      </x:c>
      <x:c r="G86" s="12"/>
    </x:row>
    <x:row r="87" ht="55" customHeight="1">
      <x:c r="A87" s="8" t="str">
        <x:v>community-space-grant-partners</x:v>
      </x:c>
      <x:c r="B87" s="11" t="str">
        <x:v>Community Space Grant Partners</x:v>
      </x:c>
      <x:c r="C87" s="11" t="str">
        <x:v>programmatic-nonprofit</x:v>
      </x:c>
      <x:c r="D87" s="11" t="str">
        <x:v>fiscal-sponsorship</x:v>
      </x:c>
      <x:c r="E87" s="11" t="str">
        <x:v>large</x:v>
      </x:c>
      <x:c r="F87" s="11" t="str">
        <x:v>Community organizations receiving in-kind space access to provide free or affordable recreation, arts, wellness, and community programming across parks and facilities.</x:v>
      </x:c>
      <x:c r="G87" s="11"/>
    </x:row>
    <x:row r="88" ht="55" customHeight="1">
      <x:c r="A88" s="7" t="str">
        <x:v>sponsored-event-partners</x:v>
      </x:c>
      <x:c r="B88" s="12" t="str">
        <x:v>Sponsored Event Partners</x:v>
      </x:c>
      <x:c r="C88" s="12" t="str">
        <x:v>programmatic-nonprofit</x:v>
      </x:c>
      <x:c r="D88" s="12" t="str">
        <x:v>fiscal-sponsorship</x:v>
      </x:c>
      <x:c r="E88" s="12" t="str">
        <x:v>large</x:v>
      </x:c>
      <x:c r="F88" s="12" t="str">
        <x:v>Partner event organizers supported through sponsored or discounted permit fees, helping activate parks and public spaces with community events.</x:v>
      </x:c>
      <x:c r="G88" s="12"/>
    </x:row>
    <x:row r="89" ht="55" customHeight="1">
      <x:c r="A89" s="8" t="str">
        <x:v>regular-stewardship-partners</x:v>
      </x:c>
      <x:c r="B89" s="11" t="str">
        <x:v>Regular Stewardship Partners</x:v>
      </x:c>
      <x:c r="C89" s="11" t="str">
        <x:v>volunteer-corps</x:v>
      </x:c>
      <x:c r="D89" s="11" t="str">
        <x:v>informal-volunteers</x:v>
      </x:c>
      <x:c r="E89" s="11" t="str">
        <x:v>large</x:v>
      </x:c>
      <x:c r="F89" s="11" t="str">
        <x:v>Regular friends groups, watershed groups, natural-area stewards, and other volunteer partners caring for parks, gardens, trails, and natural areas.</x:v>
      </x:c>
      <x:c r="G89" s="11"/>
    </x:row>
    <x:row r="90" ht="55" customHeight="1">
      <x:c r="A90" s="7" t="str">
        <x:v>friends-of-overlook-house</x:v>
      </x:c>
      <x:c r="B90" s="12" t="str">
        <x:v>Friends of Overlook House</x:v>
      </x:c>
      <x:c r="C90" s="12" t="str">
        <x:v>conservancy-operating-nonprofit</x:v>
      </x:c>
      <x:c r="D90" s="12" t="str">
        <x:v>operating-agreement</x:v>
      </x:c>
      <x:c r="E90" s="12" t="str">
        <x:v>small</x:v>
      </x:c>
      <x:c r="F90" s="12" t="str">
        <x:v>Community partner supporting Overlook House as a small public facility and neighborhood gathering place. Named in the FY2025–26 site-partner roster.</x:v>
      </x:c>
      <x:c r="G90" s="12"/>
    </x:row>
    <x:row r="91" ht="55" customHeight="1">
      <x:c r="A91" s="8" t="str">
        <x:v>portland-city-united</x:v>
      </x:c>
      <x:c r="B91" s="11" t="str">
        <x:v>Portland City United</x:v>
      </x:c>
      <x:c r="C91" s="11" t="str">
        <x:v>programmatic-nonprofit</x:v>
      </x:c>
      <x:c r="D91" s="11" t="str">
        <x:v>registered-nonprofit</x:v>
      </x:c>
      <x:c r="E91" s="11" t="str">
        <x:v>mid</x:v>
      </x:c>
      <x:c r="F91" s="11" t="str">
        <x:v>Sports partner connected to Buckman Field and youth soccer programming. Listed alongside St. Mary’s Academy at Buckman Field.</x:v>
      </x:c>
      <x:c r="G91" s="11"/>
    </x:row>
    <x:row r="92" ht="55" customHeight="1">
      <x:c r="A92" s="7" t="str">
        <x:v>summer-free-for-all-sponsors</x:v>
      </x:c>
      <x:c r="B92" s="12" t="str">
        <x:v>Summer Free For All Sponsors</x:v>
      </x:c>
      <x:c r="C92" s="12" t="str">
        <x:v>corporate-capital</x:v>
      </x:c>
      <x:c r="D92" s="12" t="str">
        <x:v>fiscal-sponsorship</x:v>
      </x:c>
      <x:c r="E92" s="12" t="str">
        <x:v>large</x:v>
      </x:c>
      <x:c r="F92" s="12" t="str">
        <x:v>Sponsors and community partners supporting free summer concerts, movies, play, and meals in Portland parks. The FY2025–26 report describes sponsorship-enabled free summer programs reaching thousands; no exact attendance or sponsorship total is supplied.</x:v>
      </x:c>
      <x:c r="G92" s="12"/>
    </x:row>
    <x:row r="93" ht="55" customHeight="1">
      <x:c r="A93" s="8" t="str">
        <x:v>recreation-access-partners</x:v>
      </x:c>
      <x:c r="B93" s="11" t="str">
        <x:v>Recreation Access Partners</x:v>
      </x:c>
      <x:c r="C93" s="11" t="str">
        <x:v>programmatic-nonprofit</x:v>
      </x:c>
      <x:c r="D93" s="11" t="str">
        <x:v>fiscal-sponsorship</x:v>
      </x:c>
      <x:c r="E93" s="11" t="str">
        <x:v>large</x:v>
      </x:c>
      <x:c r="F93" s="11" t="str">
        <x:v>Community partners helping expand access to recreation programs, affordability supports, outreach, and participation.</x:v>
      </x:c>
      <x:c r="G93" s="11"/>
    </x:row>
    <x:row r="94" ht="55" customHeight="1">
      <x:c r="A94" s="7" t="str">
        <x:v>schools-to-pools</x:v>
      </x:c>
      <x:c r="B94" s="12" t="str">
        <x:v>Schools to Pools</x:v>
      </x:c>
      <x:c r="C94" s="12" t="str">
        <x:v>programmatic-nonprofit</x:v>
      </x:c>
      <x:c r="D94" s="12" t="str">
        <x:v>fiscal-sponsorship</x:v>
      </x:c>
      <x:c r="E94" s="12" t="str">
        <x:v>mid</x:v>
      </x:c>
      <x:c r="F94" s="12" t="str">
        <x:v>Partnership program connecting students and schools to swimming access and aquatic safety.</x:v>
      </x:c>
      <x:c r="G94" s="12"/>
    </x:row>
    <x:row r="95" ht="55" customHeight="1">
      <x:c r="A95" s="8" t="str">
        <x:v>nature-conservancy</x:v>
      </x:c>
      <x:c r="B95" s="11" t="str">
        <x:v>The Nature Conservancy</x:v>
      </x:c>
      <x:c r="C95" s="11" t="str">
        <x:v>garden-natural-network</x:v>
      </x:c>
      <x:c r="D95" s="11" t="str">
        <x:v>not-published</x:v>
      </x:c>
      <x:c r="E95" s="11"/>
      <x:c r="F95" s="11" t="str">
        <x:v>Stewardship support at Errol Heights, Mt. Tabor, Powell Butte, and Tideman Johnson in PP&amp;R’s FY2025–26 report.</x:v>
      </x:c>
      <x:c r="G95" s="11"/>
    </x:row>
    <x:row r="96" ht="55" customHeight="1">
      <x:c r="A96" s="7" t="str">
        <x:v>friends-of-portland-memory-garden</x:v>
      </x:c>
      <x:c r="B96" s="12" t="str">
        <x:v>Friends of Portland Memory Garden</x:v>
      </x:c>
      <x:c r="C96" s="12" t="str">
        <x:v>friends-group</x:v>
      </x:c>
      <x:c r="D96" s="12" t="str">
        <x:v>not-published</x:v>
      </x:c>
      <x:c r="E96" s="12"/>
      <x:c r="F96" s="12" t="str">
        <x:v>PP&amp;R identifies the group as a site partner at Portland Memory Garden in Ed Benedict Park.</x:v>
      </x:c>
      <x:c r="G96" s="12"/>
    </x:row>
    <x:row r="97" ht="55" customHeight="1">
      <x:c r="A97" s="8" t="str">
        <x:v>northwest-trail-alliance</x:v>
      </x:c>
      <x:c r="B97" s="11" t="str">
        <x:v>Northwest Trail Alliance</x:v>
      </x:c>
      <x:c r="C97" s="11" t="str">
        <x:v>programmatic-nonprofit</x:v>
      </x:c>
      <x:c r="D97" s="11" t="str">
        <x:v>not-published</x:v>
      </x:c>
      <x:c r="E97" s="11"/>
      <x:c r="F97" s="11" t="str">
        <x:v>PP&amp;R names Gateway Green and Ventura Park partnerships; the report also recognizes community-led park building at Gateway Green.</x:v>
      </x:c>
      <x:c r="G97" s="11"/>
    </x:row>
    <x:row r="98" ht="55" customHeight="1">
      <x:c r="A98" s="7" t="str">
        <x:v>portland-tennis-education</x:v>
      </x:c>
      <x:c r="B98" s="12" t="str">
        <x:v>Portland Tennis &amp; Education</x:v>
      </x:c>
      <x:c r="C98" s="12" t="str">
        <x:v>programmatic-nonprofit</x:v>
      </x:c>
      <x:c r="D98" s="12" t="str">
        <x:v>not-published</x:v>
      </x:c>
      <x:c r="E98" s="12"/>
      <x:c r="F98" s="12" t="str">
        <x:v>Named as a site partner at St. John’s Racquet Center in the FY2025–26 report; exact agreement and inventory match need confirmation.</x:v>
      </x:c>
      <x:c r="G98" s="12"/>
    </x:row>
    <x:row r="99" ht="55" customHeight="1">
      <x:c r="A99" s="8" t="str">
        <x:v>friends-of-columbia-cottage</x:v>
      </x:c>
      <x:c r="B99" s="11" t="str">
        <x:v>Friends of Columbia Cottage</x:v>
      </x:c>
      <x:c r="C99" s="11" t="str">
        <x:v>friends-group</x:v>
      </x:c>
      <x:c r="D99" s="11" t="str">
        <x:v>not-published</x:v>
      </x:c>
      <x:c r="E99" s="11"/>
      <x:c r="F99" s="11" t="str">
        <x:v>Named as the Columbia Cottage site partner at Columbia Park in PP&amp;R’s FY2025–26 report.</x:v>
      </x:c>
      <x:c r="G99" s="11"/>
    </x:row>
    <x:row r="100" ht="55" customHeight="1">
      <x:c r="A100" s="7" t="str">
        <x:v>friends-of-ifcc</x:v>
      </x:c>
      <x:c r="B100" s="12" t="str">
        <x:v>Friends of IFCC</x:v>
      </x:c>
      <x:c r="C100" s="12" t="str">
        <x:v>friends-group</x:v>
      </x:c>
      <x:c r="D100" s="12" t="str">
        <x:v>not-published</x:v>
      </x:c>
      <x:c r="E100" s="12"/>
      <x:c r="F100" s="12" t="str">
        <x:v>Named as a site partner at IFCC. The report says International Firehouse and Cultural Center; the Atlas facility is Interstate Firehouse Cultural Center.</x:v>
      </x:c>
      <x:c r="G100" s="12"/>
    </x:row>
    <x:row r="101" ht="55" customHeight="1">
      <x:c r="A101" s="8" t="str">
        <x:v>st-marys-academy</x:v>
      </x:c>
      <x:c r="B101" s="11" t="str">
        <x:v>St. Mary’s Academy</x:v>
      </x:c>
      <x:c r="C101" s="11" t="str">
        <x:v>programmatic-nonprofit</x:v>
      </x:c>
      <x:c r="D101" s="11" t="str">
        <x:v>not-published</x:v>
      </x:c>
      <x:c r="E101" s="11"/>
      <x:c r="F101" s="11" t="str">
        <x:v>PP&amp;R lists St. Mary’s Academy alongside Portland City United at Buckman Field.</x:v>
      </x:c>
      <x:c r="G101" s="11"/>
    </x:row>
    <x:row r="102" ht="55" customHeight="1">
      <x:c r="A102" s="7" t="str">
        <x:v>eastmoreland-neighborhood-association</x:v>
      </x:c>
      <x:c r="B102" s="12" t="str">
        <x:v>Eastmoreland Neighborhood Association</x:v>
      </x:c>
      <x:c r="C102" s="12" t="str">
        <x:v>friends-group</x:v>
      </x:c>
      <x:c r="D102" s="12" t="str">
        <x:v>not-published</x:v>
      </x:c>
      <x:c r="E102" s="12"/>
      <x:c r="F102" s="12" t="str">
        <x:v>PP&amp;R names the neighborhood association as a partner at Eastmoreland Garden.</x:v>
      </x:c>
      <x:c r="G102" s="12"/>
    </x:row>
    <x:row r="103" ht="55" customHeight="1">
      <x:c r="A103" s="8" t="str">
        <x:v>friends-of-woodstock-community-center</x:v>
      </x:c>
      <x:c r="B103" s="11" t="str">
        <x:v>Friends of Woodstock Community Center</x:v>
      </x:c>
      <x:c r="C103" s="11" t="str">
        <x:v>friends-group</x:v>
      </x:c>
      <x:c r="D103" s="11" t="str">
        <x:v>not-published</x:v>
      </x:c>
      <x:c r="E103" s="11"/>
      <x:c r="F103" s="11" t="str">
        <x:v>Listed among PP&amp;R’s FY2025–26 site partnerships; detailed operating and maintenance responsibilities are not supplied.</x:v>
      </x:c>
      <x:c r="G103" s="11"/>
    </x:row>
    <x:row r="104" ht="55" customHeight="1">
      <x:c r="A104" s="7" t="str">
        <x:v>oregon-rail-heritage-foundation</x:v>
      </x:c>
      <x:c r="B104" s="12" t="str">
        <x:v>Oregon Rail Heritage Foundation</x:v>
      </x:c>
      <x:c r="C104" s="12" t="str">
        <x:v>foundation</x:v>
      </x:c>
      <x:c r="D104" s="12" t="str">
        <x:v>not-published</x:v>
      </x:c>
      <x:c r="E104" s="12"/>
      <x:c r="F104" s="12" t="str">
        <x:v>Listed among District 3 site partners in the FY2025–26 report; a precise park link and agreement scope are not supplied.</x:v>
      </x:c>
      <x:c r="G104" s="12"/>
    </x:row>
    <x:row r="105" ht="55" customHeight="1">
      <x:c r="A105" s="8" t="str">
        <x:v>alex-rovello-memorial-foundation</x:v>
      </x:c>
      <x:c r="B105" s="11" t="str">
        <x:v>Alex Rovello Memorial Foundation</x:v>
      </x:c>
      <x:c r="C105" s="11" t="str">
        <x:v>foundation</x:v>
      </x:c>
      <x:c r="D105" s="11" t="str">
        <x:v>not-published</x:v>
      </x:c>
      <x:c r="E105" s="11"/>
      <x:c r="F105" s="11" t="str">
        <x:v>Supports Alex Rovello Memorial Tennis Courts at Berkeley Park. The report groups this example under District 4; the Atlas retains park geography.</x:v>
      </x:c>
      <x:c r="G105" s="11"/>
    </x:row>
    <x:row r="106" ht="55" customHeight="1">
      <x:c r="A106" s="7" t="str">
        <x:v>downtown-portland-clean-safe</x:v>
      </x:c>
      <x:c r="B106" s="12" t="str">
        <x:v>Downtown Portland Clean &amp; Safe</x:v>
      </x:c>
      <x:c r="C106" s="12" t="str">
        <x:v>programmatic-nonprofit</x:v>
      </x:c>
      <x:c r="D106" s="12" t="str">
        <x:v>not-published</x:v>
      </x:c>
      <x:c r="E106" s="12"/>
      <x:c r="F106" s="12" t="str">
        <x:v>PP&amp;R reports year-round care and activation at Director Park and Darcelle XV Plaza.</x:v>
      </x:c>
      <x:c r="G106" s="12"/>
    </x:row>
    <x:row r="107" ht="55" customHeight="1">
      <x:c r="A107" s="8" t="str">
        <x:v>explore-washington-park</x:v>
      </x:c>
      <x:c r="B107" s="11" t="str">
        <x:v>Explore Washington Park</x:v>
      </x:c>
      <x:c r="C107" s="11" t="str">
        <x:v>programmatic-nonprofit</x:v>
      </x:c>
      <x:c r="D107" s="11" t="str">
        <x:v>not-published</x:v>
      </x:c>
      <x:c r="E107" s="11"/>
      <x:c r="F107" s="11" t="str">
        <x:v>Listed as a District 4 site partner in PP&amp;R’s FY2025–26 report; individual responsibilities and dollar values are not supplied.</x:v>
      </x:c>
      <x:c r="G107" s="11"/>
    </x:row>
    <x:row r="108" ht="55" customHeight="1">
      <x:c r="A108" s="7" t="str">
        <x:v>friends-of-green-loop</x:v>
      </x:c>
      <x:c r="B108" s="12" t="str">
        <x:v>Friends of Green Loop</x:v>
      </x:c>
      <x:c r="C108" s="12" t="str">
        <x:v>friends-group</x:v>
      </x:c>
      <x:c r="D108" s="12" t="str">
        <x:v>not-published</x:v>
      </x:c>
      <x:c r="E108" s="12"/>
      <x:c r="F108" s="12" t="str">
        <x:v>The report names an Ankeny Square partnership. The exact match to the Atlas’s Ankeny Plaza inventory needs confirmation.</x:v>
      </x:c>
      <x:c r="G108" s="12"/>
    </x:row>
    <x:row r="109" ht="55" customHeight="1">
      <x:c r="A109" s="8" t="str">
        <x:v>friends-of-patton-square-park</x:v>
      </x:c>
      <x:c r="B109" s="11" t="str">
        <x:v>Friends of Patton Square Park</x:v>
      </x:c>
      <x:c r="C109" s="11" t="str">
        <x:v>friends-group</x:v>
      </x:c>
      <x:c r="D109" s="11" t="str">
        <x:v>not-published</x:v>
      </x:c>
      <x:c r="E109" s="11"/>
      <x:c r="F109" s="11" t="str">
        <x:v>The report recognizes community fundraising for play-piece replacement; it does not supply cost or completion status.</x:v>
      </x:c>
      <x:c r="G109" s="11"/>
    </x:row>
    <x:row r="110" ht="55" customHeight="1">
      <x:c r="A110" s="7" t="str">
        <x:v>let-us-build-cully-park-coalition</x:v>
      </x:c>
      <x:c r="B110" s="12" t="str">
        <x:v>Let Us Build Cully Park Coalition</x:v>
      </x:c>
      <x:c r="C110" s="12" t="str">
        <x:v>programmatic-nonprofit</x:v>
      </x:c>
      <x:c r="D110" s="12" t="str">
        <x:v>not-published</x:v>
      </x:c>
      <x:c r="E110" s="12"/>
      <x:c r="F110" s="12" t="str">
        <x:v>Named for community-led park building at Thomas Cully Park; a coalition mention is not an additional quantified gift.</x:v>
      </x:c>
      <x:c r="G110" s="12"/>
    </x:row>
    <x:row r="111" ht="55" customHeight="1">
      <x:c r="A111" s="8" t="str">
        <x:v>adidas</x:v>
      </x:c>
      <x:c r="B111" s="11" t="str">
        <x:v>Adidas</x:v>
      </x:c>
      <x:c r="C111" s="11" t="str">
        <x:v>corporate-capital</x:v>
      </x:c>
      <x:c r="D111" s="11" t="str">
        <x:v>not-published</x:v>
      </x:c>
      <x:c r="E111" s="11"/>
      <x:c r="F111" s="11" t="str">
        <x:v>Named as a sponsor example for the Portland World Soccer Tournament. No amount, site schedule, or agreement term is supplied.</x:v>
      </x:c>
      <x:c r="G111" s="11"/>
    </x:row>
    <x:row r="112" ht="55" customHeight="1">
      <x:c r="A112" s="7" t="str">
        <x:v>wnba-3point-initiative</x:v>
      </x:c>
      <x:c r="B112" s="12" t="str">
        <x:v>WNBA 3Point Initiative</x:v>
      </x:c>
      <x:c r="C112" s="12" t="str">
        <x:v>programmatic-nonprofit</x:v>
      </x:c>
      <x:c r="D112" s="12" t="str">
        <x:v>not-published</x:v>
      </x:c>
      <x:c r="E112" s="12"/>
      <x:c r="F112" s="12" t="str">
        <x:v>PP&amp;R describes youth basketball programming and access, particularly for girls and young women; no sites, dates, or financial totals are supplied.</x:v>
      </x:c>
      <x:c r="G112" s="12"/>
    </x:row>
    <x:row r="113" ht="55" customHeight="1">
      <x:c r="A113" s="8" t="str">
        <x:v>raj-sports</x:v>
      </x:c>
      <x:c r="B113" s="11" t="str">
        <x:v>RAJ Sports</x:v>
      </x:c>
      <x:c r="C113" s="11" t="str">
        <x:v>corporate-capital</x:v>
      </x:c>
      <x:c r="D113" s="11" t="str">
        <x:v>not-published</x:v>
      </x:c>
      <x:c r="E113" s="11"/>
      <x:c r="F113" s="11" t="str">
        <x:v>PP&amp;R highlights park activation and culturally responsive athletic and recreation programming; site and financial detail are not supplied.</x:v>
      </x:c>
      <x:c r="G113" s="11"/>
    </x:row>
    <x:row r="114" ht="55" customHeight="1">
      <x:c r="A114" s="7" t="str">
        <x:v>human-access-project</x:v>
      </x:c>
      <x:c r="B114" s="12" t="str">
        <x:v>Human Access Project</x:v>
      </x:c>
      <x:c r="C114" s="12" t="str">
        <x:v>programmatic-nonprofit</x:v>
      </x:c>
      <x:c r="D114" s="12" t="str">
        <x:v>not-published</x:v>
      </x:c>
      <x:c r="E114" s="12"/>
      <x:c r="F114" s="12" t="str">
        <x:v>PP&amp;R highlights Willamette River access and connection to Portland’s rivers, trails, and natural heritage; site agreement and value are not supplied.</x:v>
      </x:c>
      <x:c r="G114" s="12"/>
    </x:row>
    <x:row r="115" ht="55" customHeight="1">
      <x:c r="A115" s="8" t="str">
        <x:v>adventist-health</x:v>
      </x:c>
      <x:c r="B115" s="11" t="str">
        <x:v>Adventist Health</x:v>
      </x:c>
      <x:c r="C115" s="11" t="str">
        <x:v>programmatic-nonprofit</x:v>
      </x:c>
      <x:c r="D115" s="11" t="str">
        <x:v>not-published</x:v>
      </x:c>
      <x:c r="E115" s="11"/>
      <x:c r="F115" s="11" t="str">
        <x:v>Named as an outside-investment example in the 2026 Council presentation; no project, amount, or role is specified.</x:v>
      </x:c>
      <x:c r="G115" s="11"/>
    </x:row>
    <x:row r="116" ht="55" customHeight="1">
      <x:c r="A116" s="7" t="str">
        <x:v>rosewood</x:v>
      </x:c>
      <x:c r="B116" s="12" t="str">
        <x:v>Rosewood</x:v>
      </x:c>
      <x:c r="C116" s="12" t="str">
        <x:v>programmatic-nonprofit</x:v>
      </x:c>
      <x:c r="D116" s="12" t="str">
        <x:v>not-published</x:v>
      </x:c>
      <x:c r="E116" s="12"/>
      <x:c r="F116" s="12" t="str">
        <x:v>Named as the programming example in the Council presentation’s partnership spectrum. The full organizational identity and agreement terms are not supplied.</x:v>
      </x:c>
      <x:c r="G116" s="12"/>
    </x:row>
  </x:sheetData>
  <x:mergeCells>
    <x:mergeCell ref="A2:G2"/>
  </x:mergeCells>
  <x:pageMargins left="0.7" right="0.7" top="0.75" bottom="0.75" header="0.3" footer="0.3"/>
  <x:tableParts count="1">
    <x:tablePart xmlns:r="http://schemas.openxmlformats.org/officeDocument/2006/relationships" r:id="R5c7d0a098bb34eff"/>
  </x:tableParts>
</x:worksheet>
</file>

<file path=xl/worksheets/sheet1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7" hidden="0" customWidth="1"/>
    <x:col min="2" max="2" width="130" hidden="0" customWidth="1"/>
    <x:col min="3" max="3" width="95" hidden="0" customWidth="1"/>
  </x:cols>
  <x:sheetData>
    <x:row r="1" ht="32" customHeight="1">
      <x:c r="A1" s="1" t="str">
        <x:v>Evidence notes</x:v>
      </x:c>
    </x:row>
    <x:row r="2" ht="42" customHeight="1">
      <x:c r="A2" s="3" t="str">
        <x:v>Read before using this model as a budget proposal. Observed data, assumptions and unresolved gaps have different evidentiary status.</x:v>
      </x:c>
      <x:c r="B2" s="3"/>
      <x:c r="C2" s="3"/>
    </x:row>
    <x:row r="4" ht="34" customHeight="1">
      <x:c r="A4" s="6" t="str">
        <x:v>Topic</x:v>
      </x:c>
      <x:c r="B4" s="6" t="str">
        <x:v>Finding / limitation</x:v>
      </x:c>
      <x:c r="C4" s="6" t="str">
        <x:v>Source</x:v>
      </x:c>
    </x:row>
    <x:row r="5" ht="53" customHeight="1">
      <x:c r="A5" s="8" t="str">
        <x:v>Scope</x:v>
      </x:c>
      <x:c r="B5" s="11" t="str">
        <x:v>All 316 property records; all nine public downloads; all main Atlas sections, plus progress. Source catalog indexed, not every original response independently reread.</x:v>
      </x:c>
      <x:c r="C5" s="11" t="str">
        <x:v>https://parks.portlandciviclab.org/sources</x:v>
      </x:c>
    </x:row>
    <x:row r="6" ht="53" customHeight="1">
      <x:c r="A6" s="7" t="str">
        <x:v>Budget basis</x:v>
      </x:c>
      <x:c r="B6" s="12" t="str">
        <x:v>FY2026–27 adopted, not a certified amended ledger. July 22 ordinance restored East Portland engagement staff; exact amendment not inserted.</x:v>
      </x:c>
      <x:c r="C6" s="12" t="str">
        <x:v>https://www.portland.gov/council/documents/ordinance/passed/192207</x:v>
      </x:c>
    </x:row>
    <x:row r="7" ht="53" customHeight="1">
      <x:c r="A7" s="8" t="str">
        <x:v>Budget interpretation</x:v>
      </x:c>
      <x:c r="B7" s="11" t="str">
        <x:v>Capital Development includes $45.546m external services, $45.244m capital outlay, $5.975m personnel and $2.871m internal services. Do not use capital outlay alone as capital budget.</x:v>
      </x:c>
      <x:c r="C7" s="11" t="str">
        <x:v>Budget Volume 2, p.962</x:v>
      </x:c>
    </x:row>
    <x:row r="8" ht="53" customHeight="1">
      <x:c r="A8" s="7" t="str">
        <x:v>Staffing comparison</x:v>
      </x:c>
      <x:c r="B8" s="12" t="str">
        <x:v>723.22 adopted career FTE omits annualized seasonal workforce. Model seasonal counts cover changed core only; total agency seasonal FTE remains unknown.</x:v>
      </x:c>
      <x:c r="C8" s="12" t="str">
        <x:v>Budget Volume 2 and PP&amp;R System by Numbers</x:v>
      </x:c>
    </x:row>
    <x:row r="9" ht="53" customHeight="1">
      <x:c r="A9" s="8" t="str">
        <x:v>Model limitations</x:v>
      </x:c>
      <x:c r="B9" s="11" t="str">
        <x:v>This is a hybrid planning case. Core physical work is built from quantities and standards; recreation, enterprises, citywide forestry and business support retain current expense. It is not a fully optimized whole-bureau design.</x:v>
      </x:c>
      <x:c r="C9" s="11" t="str">
        <x:v>Model judgment</x:v>
      </x:c>
    </x:row>
    <x:row r="10" ht="53" customHeight="1">
      <x:c r="A10" s="7" t="str">
        <x:v>Per-property costs</x:v>
      </x:c>
      <x:c r="B10" s="12" t="str">
        <x:v>Direct field labor is a planning allocation. Trades, supplies, utilities, programs, overhead and capital remain central. Natural workload is allocated by estimated natural acreage, not measured park work orders.</x:v>
      </x:c>
      <x:c r="C10" s="12" t="str">
        <x:v>Park model + Workload</x:v>
      </x:c>
    </x:row>
    <x:row r="11" ht="53" customHeight="1">
      <x:c r="A11" s="8" t="str">
        <x:v>Land cover</x:v>
      </x:c>
      <x:c r="B11" s="11" t="str">
        <x:v>Estimated turf and bed areas use editable fractions of parcel acres; these are the largest park-specific uncertainties. Natural acreage and trails use official system counts for total workload.</x:v>
      </x:c>
      <x:c r="C11" s="11" t="str">
        <x:v>Service inputs</x:v>
      </x:c>
    </x:row>
    <x:row r="12" ht="53" customHeight="1">
      <x:c r="A12" s="7" t="str">
        <x:v>Property discrepancy</x:v>
      </x:c>
      <x:c r="B12" s="12" t="str">
        <x:v>Atlas maps 11401.2 acres versus official 11,677. Property categories are inferred and differ from official 157 developed parks. Do not force counts to match.</x:v>
      </x:c>
      <x:c r="C12" s="12" t="str">
        <x:v>https://www.portland.gov/parks/ppr-system-numbers</x:v>
      </x:c>
    </x:row>
    <x:row r="13" ht="53" customHeight="1">
      <x:c r="A13" s="8" t="str">
        <x:v>Conditions</x:v>
      </x:c>
      <x:c r="B13" s="11" t="str">
        <x:v>13971 rated records in property rollups; 2093 poor/very bad. Site-wide summary uses a broader total. Counts are not weighted by replacement value and cannot be equated to bureau 86% figures.</x:v>
      </x:c>
      <x:c r="C13" s="11" t="str">
        <x:v>https://parks.portlandciviclab.org/condition</x:v>
      </x:c>
    </x:row>
    <x:row r="14" ht="53" customHeight="1">
      <x:c r="A14" s="7" t="str">
        <x:v>Repair flags</x:v>
      </x:c>
      <x:c r="B14" s="12" t="str">
        <x:v>593 maintenance-page repair flags cover a limited subset; not the complete capital backlog.</x:v>
      </x:c>
      <x:c r="C14" s="12" t="str">
        <x:v>https://parks.portlandciviclab.org/maintenance</x:v>
      </x:c>
    </x:row>
    <x:row r="15" ht="53" customHeight="1">
      <x:c r="A15" s="8" t="str">
        <x:v>Historical costs</x:v>
      </x:c>
      <x:c r="B15" s="11" t="str">
        <x:v>1195 historical rows; total 615703721.15. Dates of underlying estimates and current project completion/funding status unknown.</x:v>
      </x:c>
      <x:c r="C15" s="11" t="str">
        <x:v>https://parks.portlandciviclab.org/downloads/park-use/historical-kgw-estimates.csv</x:v>
      </x:c>
    </x:row>
    <x:row r="16" ht="53" customHeight="1">
      <x:c r="A16" s="7" t="str">
        <x:v>Program data</x:v>
      </x:c>
      <x:c r="B16" s="12" t="str">
        <x:v>1367 sections; 7144 registrations and 2417 waitlist entries at capture. 972 future, 176 active, 219 undated; not annual attendance or unique demand.</x:v>
      </x:c>
      <x:c r="C16" s="12" t="str">
        <x:v>https://parks.portlandciviclab.org/downloads/park-use/program-observations.csv</x:v>
      </x:c>
    </x:row>
    <x:row r="17" ht="53" customHeight="1">
      <x:c r="A17" s="8" t="str">
        <x:v>Usage gap</x:v>
      </x:c>
      <x:c r="B17" s="11" t="str">
        <x:v>No verified park-level utilization series in the evidence matrix. Do not close a park or rank productivity by recorded events.</x:v>
      </x:c>
      <x:c r="C17" s="11" t="str">
        <x:v>https://parks.portlandciviclab.org/how-parks-works/progress</x:v>
      </x:c>
    </x:row>
    <x:row r="18" ht="53" customHeight="1">
      <x:c r="A18" s="7" t="str">
        <x:v>Partnership scope</x:v>
      </x:c>
      <x:c r="B18" s="12" t="str">
        <x:v>112 mapped partner records and 113 links are a subset of broader department-provided directory records. Missing full City support and counterfactual costs preclude savings claims.</x:v>
      </x:c>
      <x:c r="C18" s="12" t="str">
        <x:v>https://parks.portlandciviclab.org/partners/asset-roi</x:v>
      </x:c>
    </x:row>
    <x:row r="19" ht="53" customHeight="1">
      <x:c r="A19" s="8" t="str">
        <x:v>Source coverage</x:v>
      </x:c>
      <x:c r="B19" s="11" t="str">
        <x:v>35896 entries in source CSV, including pagination/API requests; 7,007 curated entries on source page. 572 gap records. Indexing is not independent verification of every underlying source.</x:v>
      </x:c>
      <x:c r="C19" s="11" t="str">
        <x:v>https://parks.portlandciviclab.org/sources</x:v>
      </x:c>
    </x:row>
    <x:row r="20" ht="53" customHeight="1">
      <x:c r="A20" s="7" t="str">
        <x:v>Capital method</x:v>
      </x:c>
      <x:c r="B20" s="12" t="str">
        <x:v>Updated October 13: backlog $759m (August 2026 source); no unverified overlap credit. Annual renewal still $67.4m at original class rates; funding now modeled separately.</x:v>
      </x:c>
      <x:c r="C20" s="12" t="str">
        <x:v>Capital sheet</x:v>
      </x:c>
    </x:row>
    <x:row r="21" ht="53" customHeight="1">
      <x:c r="A21" s="8" t="str">
        <x:v>Savings status</x:v>
      </x:c>
      <x:c r="B21" s="11" t="str">
        <x:v>No measured cash savings are established. Productivity sensitivity shows cost exposure, not a cut target. Retained expense is not evaluated for efficiency.</x:v>
      </x:c>
      <x:c r="C21" s="11" t="str">
        <x:v>Model judgment</x:v>
      </x:c>
    </x:row>
    <x:row r="22" ht="53" customHeight="1">
      <x:c r="A22" s="7" t="str">
        <x:v>Funding</x:v>
      </x:c>
      <x:c r="B22" s="12" t="str">
        <x:v>Funding inputs, Funding forecast, Bond financing and Fund register distinguish existing resources, proposed receipts, restrictions, expiry, debt, reserves and unresolved coverage.</x:v>
      </x:c>
      <x:c r="C22" s="12" t="str">
        <x:v>Budget baseline</x:v>
      </x:c>
    </x:row>
    <x:row r="23" ht="53" customHeight="1">
      <x:c r="A23" s="8" t="str">
        <x:v>Implementation</x:v>
      </x:c>
      <x:c r="B23" s="11" t="str">
        <x:v>Validate 12–16 representative parks, actual task times, staff calendars, payroll burden, work orders, turf maps, responsibility agreements and asset-level repair scopes before committing staffing.</x:v>
      </x:c>
      <x:c r="C23" s="11" t="str">
        <x:v>Proposed next step</x:v>
      </x:c>
    </x:row>
    <x:row r="24" ht="53" customHeight="1">
      <x:c r="A24" s="7" t="str">
        <x:v>Service outcomes</x:v>
      </x:c>
      <x:c r="B24" s="12" t="str">
        <x:v>Targets: reliable restroom opening/cleanliness, hazard containment, preventive completion, affordable access, representative satisfaction, staff safety, ecological outcomes; avoid average-only targets.</x:v>
      </x:c>
      <x:c r="C24" s="12" t="str">
        <x:v>Proposed design</x:v>
      </x:c>
    </x:row>
    <x:row r="25" ht="53" customHeight="1">
      <x:c r="A25" s="8" t="str">
        <x:v>Version</x:v>
      </x:c>
      <x:c r="B25" s="11" t="str">
        <x:v>Funding revision October 13, 2026. Operations remain a provisional workload model. Review status records unresolved calibration and responsibility questions.</x:v>
      </x:c>
      <x:c r="C25" s="11" t="str">
        <x:v>Planning case v1</x:v>
      </x:c>
    </x:row>
  </x:sheetData>
  <x:mergeCells>
    <x:mergeCell ref="A2:C2"/>
  </x:mergeCells>
  <x:pageMargins left="0.7" right="0.7" top="0.75" bottom="0.75" header="0.3" footer="0.3"/>
  <x:tableParts count="1">
    <x:tablePart xmlns:r="http://schemas.openxmlformats.org/officeDocument/2006/relationships" r:id="R1b51818385b74857"/>
  </x:tableParts>
</x:worksheet>
</file>

<file path=xl/worksheets/sheet13.xml><?xml version="1.0" encoding="utf-8"?>
<x:worksheet xmlns:x="http://schemas.openxmlformats.org/spreadsheetml/2006/main">
  <x:sheetPr>
    <x:tabColor rgb="FF173E38"/>
  </x:sheetPr>
  <x:sheetViews>
    <x:sheetView showGridLines="0" workbookViewId="0">
      <x:pane ySplit="4" topLeftCell="A5" activePane="bottomLeft" state="frozen"/>
    </x:sheetView>
  </x:sheetViews>
  <x:sheetFormatPr defaultRowHeight="15"/>
  <x:cols>
    <x:col min="1" max="1" width="58" hidden="0" customWidth="1"/>
    <x:col min="2" max="2" width="26" hidden="0" customWidth="1"/>
    <x:col min="3" max="3" width="100" hidden="0" customWidth="1"/>
    <x:col min="4" max="4" width="100" hidden="0" customWidth="1"/>
  </x:cols>
  <x:sheetData>
    <x:row r="1" ht="34" customHeight="1">
      <x:c r="A1" s="54" t="str">
        <x:v>Funding inputs</x:v>
      </x:c>
    </x:row>
    <x:row r="2" ht="62" customHeight="1">
      <x:c r="A2" s="3" t="str">
        <x:v>EDIT BLUE CELLS. Dollar inputs are dollars, displayed in millions where shown. Three cases share one forecast. Cases are illustrations, not adopted City plans.</x:v>
      </x:c>
      <x:c r="B2" s="3"/>
      <x:c r="C2" s="3"/>
      <x:c r="D2" s="3"/>
    </x:row>
    <x:row r="4" ht="36" customHeight="1">
      <x:c r="A4" s="6" t="str">
        <x:v>Control / source input</x:v>
      </x:c>
      <x:c r="B4" s="6" t="str">
        <x:v>Value</x:v>
      </x:c>
      <x:c r="C4" s="6" t="str">
        <x:v>Meaning / restriction</x:v>
      </x:c>
      <x:c r="D4" s="6" t="str">
        <x:v>Source</x:v>
      </x:c>
    </x:row>
    <x:row r="5" ht="25" customHeight="1">
      <x:c r="A5" s="56" t="str">
        <x:v>Active case: 1 existing; 2 proposal; 3 downside</x:v>
      </x:c>
      <x:c r="B5" s="57" t="n">
        <x:v>2</x:v>
      </x:c>
      <x:c r="C5" s="76"/>
      <x:c r="D5" s="76"/>
    </x:row>
    <x:row r="6" ht="34" customHeight="1">
      <x:c r="A6" s="55" t="str">
        <x:v>Selected funding case</x:v>
      </x:c>
      <x:c r="B6" s="58" t="str">
        <x:f>CHOOSE(B5,"Existing authorizations","Service target proposal","Downside proposal")</x:f>
        <x:v>Service target proposal</x:v>
      </x:c>
      <x:c r="C6" s="58"/>
      <x:c r="D6" s="58"/>
    </x:row>
    <x:row r="7" ht="25" customHeight="1">
      <x:c r="A7" s="56"/>
      <x:c r="B7" s="56"/>
      <x:c r="C7" s="76"/>
      <x:c r="D7" s="76"/>
    </x:row>
    <x:row r="8" ht="25" customHeight="1">
      <x:c r="A8" s="55"/>
      <x:c r="B8" s="55"/>
      <x:c r="C8" s="58"/>
      <x:c r="D8" s="58"/>
    </x:row>
    <x:row r="9" ht="25" customHeight="1">
      <x:c r="A9" s="56"/>
      <x:c r="B9" s="56"/>
      <x:c r="C9" s="76"/>
      <x:c r="D9" s="76"/>
    </x:row>
    <x:row r="10" ht="54" customHeight="1">
      <x:c r="A10" s="55" t="str">
        <x:v>FY27 adopted levy tax revenue</x:v>
      </x:c>
      <x:c r="B10" s="68" t="n">
        <x:v>81575423</x:v>
      </x:c>
      <x:c r="C10" s="58" t="str">
        <x:v>Tax budget, not receipts. Excludes beginning balance and interest.</x:v>
      </x:c>
      <x:c r="D10" s="58" t="str">
        <x:v>https://www.portland.gov/budget/2026-2027-budget/documents/fy-26-27-adopted-budget-book-volume-2/download</x:v>
      </x:c>
    </x:row>
    <x:row r="11" ht="54" customHeight="1">
      <x:c r="A11" s="56" t="str">
        <x:v>Operating rate / $1,000 assessed value</x:v>
      </x:c>
      <x:c r="B11" s="74" t="n">
        <x:v>1.37</x:v>
      </x:c>
      <x:c r="C11" s="76" t="str">
        <x:v>Analytical split; not a published expense allocation.</x:v>
      </x:c>
      <x:c r="D11" s="76" t="str">
        <x:v>https://www.portland.gov/council/documents/resolution/adopted/37710</x:v>
      </x:c>
    </x:row>
    <x:row r="12" ht="54" customHeight="1">
      <x:c r="A12" s="55" t="str">
        <x:v>Total levy rate / $1,000 assessed value</x:v>
      </x:c>
      <x:c r="B12" s="75" t="n">
        <x:v>1.4</x:v>
      </x:c>
      <x:c r="C12" s="58" t="str">
        <x:v>$0.03 is designated capital maintenance.</x:v>
      </x:c>
      <x:c r="D12" s="58" t="str">
        <x:v>https://www.portland.gov/council/documents/resolution/adopted/37710</x:v>
      </x:c>
    </x:row>
    <x:row r="13" ht="54" customHeight="1">
      <x:c r="A13" s="56" t="str">
        <x:v>General Fund discretionary reference</x:v>
      </x:c>
      <x:c r="B13" s="67" t="n">
        <x:v>67381994</x:v>
      </x:c>
      <x:c r="C13" s="76" t="str">
        <x:v>Existing support. Not all available for operations or an uncommitted pool.</x:v>
      </x:c>
      <x:c r="D13" s="76" t="str">
        <x:v>https://www.portland.gov/budget/2026-2027-budget/documents/fy-26-27-adopted-budget-book-volume-2/download</x:v>
      </x:c>
    </x:row>
    <x:row r="14" ht="54" customHeight="1">
      <x:c r="A14" s="55" t="str">
        <x:v>Existing GF capital maintenance benchmark</x:v>
      </x:c>
      <x:c r="B14" s="68" t="n">
        <x:v>5000000</x:v>
      </x:c>
      <x:c r="C14" s="58" t="str">
        <x:v>Approximate Council benchmark, not a verified FY27 recurring ledger. Assumed indexed continuation; do not add a separate $4.6m CIP average.</x:v>
      </x:c>
      <x:c r="D14" s="58" t="str">
        <x:v>https://www.portland.gov/council/documents/resolution/adopted/37710</x:v>
      </x:c>
    </x:row>
    <x:row r="15" ht="54" customHeight="1">
      <x:c r="A15" s="56" t="str">
        <x:v>First fiscal START year</x:v>
      </x:c>
      <x:c r="B15" s="60" t="n">
        <x:v>2026</x:v>
      </x:c>
      <x:c r="C15" s="76" t="str">
        <x:v>2026 means FY2026–27; all projections are nominal unless stated.</x:v>
      </x:c>
      <x:c r="D15" s="76" t="str">
        <x:v>Calendar</x:v>
      </x:c>
    </x:row>
    <x:row r="16" ht="54" customHeight="1">
      <x:c r="A16" s="55" t="str">
        <x:v>First year without current levy</x:v>
      </x:c>
      <x:c r="B16" s="59" t="n">
        <x:v>2031</x:v>
      </x:c>
      <x:c r="C16" s="58" t="str">
        <x:v>FY2031–32. Expiration is independent of whether a successor is ready.</x:v>
      </x:c>
      <x:c r="D16" s="58" t="str">
        <x:v>https://www.portland.gov/parks/sustainable-future</x:v>
      </x:c>
    </x:row>
    <x:row r="17" ht="54" customHeight="1">
      <x:c r="A17" s="56" t="str">
        <x:v>First backlog program year</x:v>
      </x:c>
      <x:c r="B17" s="60" t="n">
        <x:v>2028</x:v>
      </x:c>
      <x:c r="C17" s="76" t="str">
        <x:v>Illustrative start; design and procurement precede delivery. Delays do not imply that assets stop deteriorating.</x:v>
      </x:c>
      <x:c r="D17" s="76" t="str">
        <x:v>Planning assumption</x:v>
      </x:c>
    </x:row>
    <x:row r="18" ht="54" customHeight="1">
      <x:c r="A18" s="55" t="str">
        <x:v>Years to deliver backlog</x:v>
      </x:c>
      <x:c r="B18" s="61" t="n">
        <x:f>Capital!B16</x:f>
        <x:v>15</x:v>
      </x:c>
      <x:c r="C18" s="58" t="str">
        <x:v>Linked to Capital catch-up horizon. Bond model supports up to 15 years in three five-year tranches.</x:v>
      </x:c>
      <x:c r="D18" s="58" t="str">
        <x:v>Capital sheet</x:v>
      </x:c>
    </x:row>
    <x:row r="19" ht="54" customHeight="1">
      <x:c r="A19" s="56" t="str">
        <x:v>Bond repayment term</x:v>
      </x:c>
      <x:c r="B19" s="60" t="n">
        <x:v>20</x:v>
      </x:c>
      <x:c r="C19" s="76" t="str">
        <x:v>Annual level debt service; issue at beginning of fiscal year; first payment at year end.</x:v>
      </x:c>
      <x:c r="D19" s="76" t="str">
        <x:v>Illustrative, not an offer</x:v>
      </x:c>
    </x:row>
    <x:row r="20" ht="54" customHeight="1">
      <x:c r="A20" s="55" t="str">
        <x:v>Bond interest rate</x:v>
      </x:c>
      <x:c r="B20" s="65" t="n">
        <x:v>0.05</x:v>
      </x:c>
      <x:c r="C20" s="58" t="str">
        <x:v>Illustrative rate; no market quote or City debt-capacity claim.</x:v>
      </x:c>
      <x:c r="D20" s="58" t="str">
        <x:v>Planning assumption</x:v>
      </x:c>
    </x:row>
    <x:row r="21" ht="54" customHeight="1">
      <x:c r="A21" s="56" t="str">
        <x:v>Bond issuance costs / principal</x:v>
      </x:c>
      <x:c r="B21" s="64" t="n">
        <x:v>0.02</x:v>
      </x:c>
      <x:c r="C21" s="76" t="str">
        <x:v>Deducted from gross proceeds; no capitalized interest or debt-service reserve modeled.</x:v>
      </x:c>
      <x:c r="D21" s="76" t="str">
        <x:v>Planning assumption</x:v>
      </x:c>
    </x:row>
    <x:row r="22" ht="54" customHeight="1">
      <x:c r="A22" s="55" t="str">
        <x:v>Existing levy and GF capital annual growth</x:v>
      </x:c>
      <x:c r="B22" s="65" t="n">
        <x:v>0.03</x:v>
      </x:c>
      <x:c r="C22" s="58" t="str">
        <x:v>Illustration. 3% is not a legal limit on total City tax-base growth.</x:v>
      </x:c>
      <x:c r="D22" s="58" t="str">
        <x:v>Atlas model assumption, https://parks.portlandciviclab.org/downloads/resources/parks-funding-strategy-2026-09.pdf</x:v>
      </x:c>
    </x:row>
    <x:row r="23" ht="54" customHeight="1">
      <x:c r="A23" s="56" t="str">
        <x:v>Planning cost growth used to size successor</x:v>
      </x:c>
      <x:c r="B23" s="64" t="n">
        <x:v>0.045</x:v>
      </x:c>
      <x:c r="C23" s="76" t="str">
        <x:v>Fixed proposal-sizing assumption; downside cost increases do not automatically raise the proposed tax.</x:v>
      </x:c>
      <x:c r="D23" s="76" t="str">
        <x:v>https://parks.portlandciviclab.org/downloads/resources/parks-funding-strategy-2026-09.pdf</x:v>
      </x:c>
    </x:row>
    <x:row r="24" ht="54" customHeight="1">
      <x:c r="A24" s="55" t="str">
        <x:v>Initial successor operating buffer</x:v>
      </x:c>
      <x:c r="B24" s="65" t="n">
        <x:v>0.1</x:v>
      </x:c>
      <x:c r="C24" s="58" t="str">
        <x:v>10% above the narrow levy-supported service cost; an intended reserve source, not an efficiency saving.</x:v>
      </x:c>
      <x:c r="D24" s="58" t="str">
        <x:v>https://parks.portlandciviclab.org/downloads/resources/parks-funding-strategy-2026-09.pdf</x:v>
      </x:c>
    </x:row>
    <x:row r="25" ht="54" customHeight="1">
      <x:c r="A25" s="56" t="str">
        <x:v>Operating reserve target, months</x:v>
      </x:c>
      <x:c r="B25" s="60" t="n">
        <x:v>3</x:v>
      </x:c>
      <x:c r="C25" s="76" t="str">
        <x:v>Applies only to modeled operating block; current eligible cash balance is not verified.</x:v>
      </x:c>
      <x:c r="D25" s="76" t="str">
        <x:v>https://parks.portlandciviclab.org/downloads/resources/parks-funding-strategy-2026-09.pdf</x:v>
      </x:c>
    </x:row>
    <x:row r="26" ht="54" customHeight="1">
      <x:c r="A26" s="55" t="str">
        <x:v>Verified unrestricted opening reserve</x:v>
      </x:c>
      <x:c r="B26" s="68" t="n">
        <x:v>0</x:v>
      </x:c>
      <x:c r="C26" s="58" t="str">
        <x:v>No unverified existing reserve credited. Zero means unverified availability, not no City cash.</x:v>
      </x:c>
      <x:c r="D26" s="58" t="str">
        <x:v>Not verified</x:v>
      </x:c>
    </x:row>
    <x:row r="27" ht="54" customHeight="1">
      <x:c r="A27" s="56" t="str">
        <x:v>Additional net earned operating income, base year</x:v>
      </x:c>
      <x:c r="B27" s="67" t="n">
        <x:v>0</x:v>
      </x:c>
      <x:c r="C27" s="76" t="str">
        <x:v>Enter NET incremental receipts after delivery costs and affordability protection. Existing fees are not new funding.</x:v>
      </x:c>
      <x:c r="D27" s="76" t="str">
        <x:v>No new agreement verified</x:v>
      </x:c>
    </x:row>
    <x:row r="28" ht="54" customHeight="1">
      <x:c r="A28" s="55" t="str">
        <x:v>Additional eligible growth funding, base year</x:v>
      </x:c>
      <x:c r="B28" s="68" t="n">
        <x:v>0</x:v>
      </x:c>
      <x:c r="C28" s="58" t="str">
        <x:v>Restricted project-specific receipts only. $10m allowance remains unfunded by default.</x:v>
      </x:c>
      <x:c r="D28" s="58" t="str">
        <x:v>No new award verified</x:v>
      </x:c>
    </x:row>
    <x:row r="29" ht="54" customHeight="1">
      <x:c r="A29" s="56" t="str">
        <x:v>Additional one-time transition resources</x:v>
      </x:c>
      <x:c r="B29" s="67" t="n">
        <x:v>0</x:v>
      </x:c>
      <x:c r="C29" s="76" t="str">
        <x:v>Total across two years; no uncommitted carryover presumed available.</x:v>
      </x:c>
      <x:c r="D29" s="76" t="str">
        <x:v>No source verified</x:v>
      </x:c>
    </x:row>
    <x:row r="30" ht="54" customHeight="1">
      <x:c r="A30" s="55" t="str">
        <x:v>Other recurring operating funding loss, base year</x:v>
      </x:c>
      <x:c r="B30" s="68" t="n">
        <x:v>0</x:v>
      </x:c>
      <x:c r="C30" s="58" t="str">
        <x:v>Stress input for fees, grants, PCEF expiry or existing structural deficit. Their future operating share is not reconciled; zero is conditional continuation.</x:v>
      </x:c>
      <x:c r="D30" s="58" t="str">
        <x:v>Unresolved, not a zero-risk finding</x:v>
      </x:c>
    </x:row>
    <x:row r="31" ht="54" customHeight="1">
      <x:c r="A31" s="56" t="str">
        <x:v>Hypothetical taxable assessed-value base</x:v>
      </x:c>
      <x:c r="B31" s="67" t="n">
        <x:v>70000000000</x:v>
      </x:c>
      <x:c r="C31" s="76" t="str">
        <x:v>EXAMPLE ONLY. Not current Portland certified AV; do not quote the implied rate as a tax proposal.</x:v>
      </x:c>
      <x:c r="D31" s="76" t="str">
        <x:v>https://parks.portlandciviclab.org/downloads/resources/parks-funding-strategy-2026-09.pdf</x:v>
      </x:c>
    </x:row>
    <x:row r="32" ht="54" customHeight="1">
      <x:c r="A32" s="55" t="str">
        <x:v>Hypothetical tax collection factor</x:v>
      </x:c>
      <x:c r="B32" s="65" t="n">
        <x:v>0.95</x:v>
      </x:c>
      <x:c r="C32" s="58" t="str">
        <x:v>Example only; not a parcel-level Measure 5 compression model.</x:v>
      </x:c>
      <x:c r="D32" s="58" t="str">
        <x:v>https://parks.portlandciviclab.org/downloads/resources/parks-funding-strategy-2026-09.pdf</x:v>
      </x:c>
    </x:row>
    <x:row r="33" ht="54" customHeight="1">
      <x:c r="A33" s="56" t="str">
        <x:v>Example property assessed value</x:v>
      </x:c>
      <x:c r="B33" s="67" t="n">
        <x:v>300000</x:v>
      </x:c>
      <x:c r="C33" s="76" t="str">
        <x:v>Assessed value, not market value. Used only for an illustrative debt-tax calculation.</x:v>
      </x:c>
      <x:c r="D33" s="76" t="str">
        <x:v>https://parks.portlandciviclab.org/downloads/resources/parks-funding-strategy-2026-09.pdf</x:v>
      </x:c>
    </x:row>
    <x:row r="34" ht="54" customHeight="1">
      <x:c r="A34" s="55" t="str">
        <x:v>Quoted repo backlog package (reference only)</x:v>
      </x:c>
      <x:c r="B34" s="68" t="n">
        <x:v>850000000</x:v>
      </x:c>
      <x:c r="C34" s="58" t="str">
        <x:v>User feedback says 952 packages / 2,585 IDs, ten years, includes 25% reserve. Underlying file not available; NOT added to the $759m stock.</x:v>
      </x:c>
      <x:c r="D34" s="58" t="str">
        <x:v>User-supplied critique; not independently verified</x:v>
      </x:c>
    </x:row>
    <x:row r="35" ht="54" customHeight="1">
      <x:c r="A35" s="56" t="str">
        <x:v>Quoted repo annual renewal (reference only)</x:v>
      </x:c>
      <x:c r="B35" s="67" t="n">
        <x:v>60000000</x:v>
      </x:c>
      <x:c r="C35" s="76" t="str">
        <x:v>Alternative $850m/10 + $60m = $145m/year. Verify scope, dollar year, overlap and embedded reserve before switching.</x:v>
      </x:c>
      <x:c r="D35" s="76" t="str">
        <x:v>User-supplied critique</x:v>
      </x:c>
    </x:row>
    <x:row r="36" ht="25" customHeight="1">
      <x:c r="A36" s="55"/>
      <x:c r="B36" s="55"/>
      <x:c r="C36" s="58"/>
      <x:c r="D36" s="58"/>
    </x:row>
    <x:row r="37" ht="25" customHeight="1">
      <x:c r="A37" s="56"/>
      <x:c r="B37" s="56"/>
      <x:c r="C37" s="76"/>
      <x:c r="D37" s="76"/>
    </x:row>
    <x:row r="38" ht="25" customHeight="1">
      <x:c r="A38" s="55"/>
      <x:c r="B38" s="55"/>
      <x:c r="C38" s="58"/>
      <x:c r="D38" s="58"/>
    </x:row>
    <x:row r="39" ht="25" customHeight="1">
      <x:c r="A39" s="56"/>
      <x:c r="B39" s="56"/>
      <x:c r="C39" s="76"/>
      <x:c r="D39" s="76"/>
    </x:row>
    <x:row r="40" ht="31" customHeight="1">
      <x:c r="A40" s="62" t="str">
        <x:v>Operating cost growth | ACTIVE</x:v>
      </x:c>
      <x:c r="B40" s="63" t="n">
        <x:f>CHOOSE($B$5,B41,B42,B43)</x:f>
        <x:v>0.045</x:v>
      </x:c>
      <x:c r="C40" s="77" t="str">
        <x:v>Annual cost growth in the modeled operating block.</x:v>
      </x:c>
      <x:c r="D40" s="77"/>
    </x:row>
    <x:row r="41" ht="31" customHeight="1">
      <x:c r="A41" s="56" t="str">
        <x:v>1 · Existing authorizations</x:v>
      </x:c>
      <x:c r="B41" s="64" t="n">
        <x:v>0.045</x:v>
      </x:c>
      <x:c r="C41" s="76"/>
      <x:c r="D41" s="76"/>
    </x:row>
    <x:row r="42" ht="31" customHeight="1">
      <x:c r="A42" s="55" t="str">
        <x:v>2 · Service target proposal</x:v>
      </x:c>
      <x:c r="B42" s="65" t="n">
        <x:v>0.045</x:v>
      </x:c>
      <x:c r="C42" s="58"/>
      <x:c r="D42" s="58"/>
    </x:row>
    <x:row r="43" ht="31" customHeight="1">
      <x:c r="A43" s="56" t="str">
        <x:v>3 · Downside proposal</x:v>
      </x:c>
      <x:c r="B43" s="64" t="n">
        <x:v>0.055</x:v>
      </x:c>
      <x:c r="C43" s="76"/>
      <x:c r="D43" s="76"/>
    </x:row>
    <x:row r="44" ht="31" customHeight="1">
      <x:c r="A44" s="62" t="str">
        <x:v>Successor and new operating receipt growth | ACTIVE</x:v>
      </x:c>
      <x:c r="B44" s="63" t="n">
        <x:f>CHOOSE($B$5,B45,B46,B47)</x:f>
        <x:v>0.045</x:v>
      </x:c>
      <x:c r="C44" s="77" t="str">
        <x:v>Proposal case assumes revenue keeps pace with service cost; this requires a lawful funding mechanism, not simply a permanent fixed tax rate.</x:v>
      </x:c>
      <x:c r="D44" s="77"/>
    </x:row>
    <x:row r="45" ht="31" customHeight="1">
      <x:c r="A45" s="56" t="str">
        <x:v>1 · Existing authorizations</x:v>
      </x:c>
      <x:c r="B45" s="64" t="n">
        <x:v>0.03</x:v>
      </x:c>
      <x:c r="C45" s="76"/>
      <x:c r="D45" s="76"/>
    </x:row>
    <x:row r="46" ht="31" customHeight="1">
      <x:c r="A46" s="55" t="str">
        <x:v>2 · Service target proposal</x:v>
      </x:c>
      <x:c r="B46" s="65" t="n">
        <x:v>0.045</x:v>
      </x:c>
      <x:c r="C46" s="58"/>
      <x:c r="D46" s="58"/>
    </x:row>
    <x:row r="47" ht="31" customHeight="1">
      <x:c r="A47" s="56" t="str">
        <x:v>3 · Downside proposal</x:v>
      </x:c>
      <x:c r="B47" s="64" t="n">
        <x:v>0.03</x:v>
      </x:c>
      <x:c r="C47" s="76"/>
      <x:c r="D47" s="76"/>
    </x:row>
    <x:row r="48" ht="31" customHeight="1">
      <x:c r="A48" s="62" t="str">
        <x:v>New operating enhancement receipts, base year | ACTIVE</x:v>
      </x:c>
      <x:c r="B48" s="66" t="n">
        <x:f>CHOOSE($B$5,B49,B50,B51)</x:f>
        <x:v>22000000</x:v>
      </x:c>
      <x:c r="C48" s="77" t="str">
        <x:v>Illustrative $22m flexible operating package: $16.9m modeled enhancement plus near-term cost pressure/validation allowance. No current authorization.</x:v>
      </x:c>
      <x:c r="D48" s="77"/>
    </x:row>
    <x:row r="49" ht="31" customHeight="1">
      <x:c r="A49" s="56" t="str">
        <x:v>1 · Existing authorizations</x:v>
      </x:c>
      <x:c r="B49" s="67" t="n">
        <x:v>0</x:v>
      </x:c>
      <x:c r="C49" s="76"/>
      <x:c r="D49" s="76"/>
    </x:row>
    <x:row r="50" ht="31" customHeight="1">
      <x:c r="A50" s="55" t="str">
        <x:v>2 · Service target proposal</x:v>
      </x:c>
      <x:c r="B50" s="68" t="n">
        <x:v>22000000</x:v>
      </x:c>
      <x:c r="C50" s="58"/>
      <x:c r="D50" s="58"/>
    </x:row>
    <x:row r="51" ht="31" customHeight="1">
      <x:c r="A51" s="56" t="str">
        <x:v>3 · Downside proposal</x:v>
      </x:c>
      <x:c r="B51" s="67" t="n">
        <x:v>22000000</x:v>
      </x:c>
      <x:c r="C51" s="76"/>
      <x:c r="D51" s="76"/>
    </x:row>
    <x:row r="52" ht="31" customHeight="1">
      <x:c r="A52" s="62" t="str">
        <x:v>New annual renewal receipts, base year | ACTIVE</x:v>
      </x:c>
      <x:c r="B52" s="66" t="n">
        <x:f>CHOOSE($B$5,B53,B54,B55)</x:f>
        <x:v>63000000</x:v>
      </x:c>
      <x:c r="C52" s="77" t="str">
        <x:v>Illustrative $63m recurring renewal package, sized to cover the expiring capital levy share too. Not bond proceeds or secured revenue.</x:v>
      </x:c>
      <x:c r="D52" s="77"/>
    </x:row>
    <x:row r="53" ht="31" customHeight="1">
      <x:c r="A53" s="56" t="str">
        <x:v>1 · Existing authorizations</x:v>
      </x:c>
      <x:c r="B53" s="67" t="n">
        <x:v>0</x:v>
      </x:c>
      <x:c r="C53" s="76"/>
      <x:c r="D53" s="76"/>
    </x:row>
    <x:row r="54" ht="31" customHeight="1">
      <x:c r="A54" s="55" t="str">
        <x:v>2 · Service target proposal</x:v>
      </x:c>
      <x:c r="B54" s="68" t="n">
        <x:v>63000000</x:v>
      </x:c>
      <x:c r="C54" s="58"/>
      <x:c r="D54" s="58"/>
    </x:row>
    <x:row r="55" ht="31" customHeight="1">
      <x:c r="A55" s="56" t="str">
        <x:v>3 · Downside proposal</x:v>
      </x:c>
      <x:c r="B55" s="67" t="n">
        <x:v>63000000</x:v>
      </x:c>
      <x:c r="C55" s="76"/>
      <x:c r="D55" s="76"/>
    </x:row>
    <x:row r="56" ht="31" customHeight="1">
      <x:c r="A56" s="62" t="str">
        <x:v>Successor operating receipts, initial year | ACTIVE</x:v>
      </x:c>
      <x:c r="B56" s="66" t="n">
        <x:f>CHOOSE($B$5,B57,B58,B59)</x:f>
        <x:v>109427380.5567236</x:v>
      </x:c>
      <x:c r="C56" s="77" t="str">
        <x:v>Gross successor receipts replacing the old levy-supported block. Not all incremental revenue.</x:v>
      </x:c>
      <x:c r="D56" s="77"/>
    </x:row>
    <x:row r="57" ht="31" customHeight="1">
      <x:c r="A57" s="56" t="str">
        <x:v>1 · Existing authorizations</x:v>
      </x:c>
      <x:c r="B57" s="67" t="n">
        <x:v>0</x:v>
      </x:c>
      <x:c r="C57" s="76"/>
      <x:c r="D57" s="76"/>
    </x:row>
    <x:row r="58" ht="31" customHeight="1">
      <x:c r="A58" s="55" t="str">
        <x:v>2 · Service target proposal</x:v>
      </x:c>
      <x:c r="B58" s="69" t="n">
        <x:f>$B$10*$B$11/$B$12*(1+$B$23)^($B$16-$B$15)*(1+$B$24)</x:f>
        <x:v>109427380.5567236</x:v>
      </x:c>
      <x:c r="C58" s="58"/>
      <x:c r="D58" s="58"/>
    </x:row>
    <x:row r="59" ht="31" customHeight="1">
      <x:c r="A59" s="56" t="str">
        <x:v>3 · Downside proposal</x:v>
      </x:c>
      <x:c r="B59" s="70" t="n">
        <x:f>$B$10*$B$11/$B$12*(1+$B$23)^($B$16-$B$15)*(1+$B$24)</x:f>
        <x:v>109427380.5567236</x:v>
      </x:c>
      <x:c r="C59" s="76"/>
      <x:c r="D59" s="76"/>
    </x:row>
    <x:row r="60" ht="31" customHeight="1">
      <x:c r="A60" s="62" t="str">
        <x:v>GF discretionary support withdrawn | ACTIVE</x:v>
      </x:c>
      <x:c r="B60" s="63" t="n">
        <x:f>CHOOSE($B$5,B61,B62,B63)</x:f>
        <x:v>0</x:v>
      </x:c>
      <x:c r="C60" s="77" t="str">
        <x:v>One permanent 3% reduction from the $67.382m reference, indexed thereafter; not a new 3% cut every year.</x:v>
      </x:c>
      <x:c r="D60" s="77"/>
    </x:row>
    <x:row r="61" ht="31" customHeight="1">
      <x:c r="A61" s="56" t="str">
        <x:v>1 · Existing authorizations</x:v>
      </x:c>
      <x:c r="B61" s="64" t="n">
        <x:v>0</x:v>
      </x:c>
      <x:c r="C61" s="76"/>
      <x:c r="D61" s="76"/>
    </x:row>
    <x:row r="62" ht="31" customHeight="1">
      <x:c r="A62" s="55" t="str">
        <x:v>2 · Service target proposal</x:v>
      </x:c>
      <x:c r="B62" s="65" t="n">
        <x:v>0</x:v>
      </x:c>
      <x:c r="C62" s="58"/>
      <x:c r="D62" s="58"/>
    </x:row>
    <x:row r="63" ht="31" customHeight="1">
      <x:c r="A63" s="56" t="str">
        <x:v>3 · Downside proposal</x:v>
      </x:c>
      <x:c r="B63" s="64" t="n">
        <x:v>0.03</x:v>
      </x:c>
      <x:c r="C63" s="76"/>
      <x:c r="D63" s="76"/>
    </x:row>
    <x:row r="64" ht="31" customHeight="1">
      <x:c r="A64" s="62" t="str">
        <x:v>Capital construction inflation | ACTIVE</x:v>
      </x:c>
      <x:c r="B64" s="63" t="n">
        <x:f>CHOOSE($B$5,B65,B66,B67)</x:f>
        <x:v>0.03</x:v>
      </x:c>
      <x:c r="C64" s="77" t="str">
        <x:v>Escalates the repair program and renewal need.</x:v>
      </x:c>
      <x:c r="D64" s="77"/>
    </x:row>
    <x:row r="65" ht="31" customHeight="1">
      <x:c r="A65" s="56" t="str">
        <x:v>1 · Existing authorizations</x:v>
      </x:c>
      <x:c r="B65" s="64" t="n">
        <x:v>0.03</x:v>
      </x:c>
      <x:c r="C65" s="76"/>
      <x:c r="D65" s="76"/>
    </x:row>
    <x:row r="66" ht="31" customHeight="1">
      <x:c r="A66" s="55" t="str">
        <x:v>2 · Service target proposal</x:v>
      </x:c>
      <x:c r="B66" s="65" t="n">
        <x:v>0.03</x:v>
      </x:c>
      <x:c r="C66" s="58"/>
      <x:c r="D66" s="58"/>
    </x:row>
    <x:row r="67" ht="31" customHeight="1">
      <x:c r="A67" s="56" t="str">
        <x:v>3 · Downside proposal</x:v>
      </x:c>
      <x:c r="B67" s="64" t="n">
        <x:v>0.04</x:v>
      </x:c>
      <x:c r="C67" s="76"/>
      <x:c r="D67" s="76"/>
    </x:row>
    <x:row r="68" ht="31" customHeight="1">
      <x:c r="A68" s="62" t="str">
        <x:v>Renewal receipts annual growth | ACTIVE</x:v>
      </x:c>
      <x:c r="B68" s="63" t="n">
        <x:f>CHOOSE($B$5,B69,B70,B71)</x:f>
        <x:v>0.03</x:v>
      </x:c>
      <x:c r="C68" s="77" t="str">
        <x:v>Growth in proposed renewal revenue; downside construction costs can outpace receipts.</x:v>
      </x:c>
      <x:c r="D68" s="77"/>
    </x:row>
    <x:row r="69" ht="31" customHeight="1">
      <x:c r="A69" s="56" t="str">
        <x:v>1 · Existing authorizations</x:v>
      </x:c>
      <x:c r="B69" s="64" t="n">
        <x:v>0.03</x:v>
      </x:c>
      <x:c r="C69" s="76"/>
      <x:c r="D69" s="76"/>
    </x:row>
    <x:row r="70" ht="31" customHeight="1">
      <x:c r="A70" s="55" t="str">
        <x:v>2 · Service target proposal</x:v>
      </x:c>
      <x:c r="B70" s="65" t="n">
        <x:v>0.03</x:v>
      </x:c>
      <x:c r="C70" s="58"/>
      <x:c r="D70" s="58"/>
    </x:row>
    <x:row r="71" ht="31" customHeight="1">
      <x:c r="A71" s="56" t="str">
        <x:v>3 · Downside proposal</x:v>
      </x:c>
      <x:c r="B71" s="64" t="n">
        <x:v>0.03</x:v>
      </x:c>
      <x:c r="C71" s="76"/>
      <x:c r="D71" s="76"/>
    </x:row>
    <x:row r="72" ht="31" customHeight="1">
      <x:c r="A72" s="62" t="str">
        <x:v>Issue proposed repair bonds: 0 / 1 | ACTIVE</x:v>
      </x:c>
      <x:c r="B72" s="71" t="n">
        <x:f>CHOOSE($B$5,B73,B74,B75)</x:f>
        <x:v>1</x:v>
      </x:c>
      <x:c r="C72" s="77" t="str">
        <x:v>Case 1 books no unapproved bond financing. Cases 2–3 assume voter approval and eligibility for the distinct repair program.</x:v>
      </x:c>
      <x:c r="D72" s="77"/>
    </x:row>
    <x:row r="73" ht="31" customHeight="1">
      <x:c r="A73" s="56" t="str">
        <x:v>1 · Existing authorizations</x:v>
      </x:c>
      <x:c r="B73" s="72" t="n">
        <x:v>0</x:v>
      </x:c>
      <x:c r="C73" s="76"/>
      <x:c r="D73" s="76"/>
    </x:row>
    <x:row r="74" ht="31" customHeight="1">
      <x:c r="A74" s="55" t="str">
        <x:v>2 · Service target proposal</x:v>
      </x:c>
      <x:c r="B74" s="73" t="n">
        <x:v>1</x:v>
      </x:c>
      <x:c r="C74" s="58"/>
      <x:c r="D74" s="58"/>
    </x:row>
    <x:row r="75" ht="31" customHeight="1">
      <x:c r="A75" s="56" t="str">
        <x:v>3 · Downside proposal</x:v>
      </x:c>
      <x:c r="B75" s="72" t="n">
        <x:v>1</x:v>
      </x:c>
      <x:c r="C75" s="76"/>
      <x:c r="D75" s="76"/>
    </x:row>
    <x:row r="76" ht="31" customHeight="1">
      <x:c r="A76" s="62" t="str">
        <x:v>First new enhancement and renewal year | ACTIVE</x:v>
      </x:c>
      <x:c r="B76" s="71" t="n">
        <x:f>CHOOSE($B$5,B77,B78,B79)</x:f>
        <x:v>2028</x:v>
      </x:c>
      <x:c r="C76" s="77" t="str">
        <x:v>Delay increases unfunded needs before proposal implementation.</x:v>
      </x:c>
      <x:c r="D76" s="77"/>
    </x:row>
    <x:row r="77" ht="31" customHeight="1">
      <x:c r="A77" s="56" t="str">
        <x:v>1 · Existing authorizations</x:v>
      </x:c>
      <x:c r="B77" s="72" t="n">
        <x:v>2028</x:v>
      </x:c>
      <x:c r="C77" s="76"/>
      <x:c r="D77" s="76"/>
    </x:row>
    <x:row r="78" ht="31" customHeight="1">
      <x:c r="A78" s="55" t="str">
        <x:v>2 · Service target proposal</x:v>
      </x:c>
      <x:c r="B78" s="73" t="n">
        <x:v>2028</x:v>
      </x:c>
      <x:c r="C78" s="58"/>
      <x:c r="D78" s="58"/>
    </x:row>
    <x:row r="79" ht="31" customHeight="1">
      <x:c r="A79" s="56" t="str">
        <x:v>3 · Downside proposal</x:v>
      </x:c>
      <x:c r="B79" s="72" t="n">
        <x:v>2029</x:v>
      </x:c>
      <x:c r="C79" s="76"/>
      <x:c r="D79" s="76"/>
    </x:row>
    <x:row r="80" ht="31" customHeight="1">
      <x:c r="A80" s="62" t="str">
        <x:v>First successor operating revenue year | ACTIVE</x:v>
      </x:c>
      <x:c r="B80" s="71" t="n">
        <x:f>CHOOSE($B$5,B81,B82,B83)</x:f>
        <x:v>2031</x:v>
      </x:c>
      <x:c r="C80" s="77" t="str">
        <x:v>Downside case leaves a year without the existing levy or its successor.</x:v>
      </x:c>
      <x:c r="D80" s="77"/>
    </x:row>
    <x:row r="81" ht="31" customHeight="1">
      <x:c r="A81" s="56" t="str">
        <x:v>1 · Existing authorizations</x:v>
      </x:c>
      <x:c r="B81" s="72" t="n">
        <x:v>2031</x:v>
      </x:c>
      <x:c r="C81" s="76"/>
      <x:c r="D81" s="76"/>
    </x:row>
    <x:row r="82" ht="31" customHeight="1">
      <x:c r="A82" s="55" t="str">
        <x:v>2 · Service target proposal</x:v>
      </x:c>
      <x:c r="B82" s="73" t="n">
        <x:v>2031</x:v>
      </x:c>
      <x:c r="C82" s="58"/>
      <x:c r="D82" s="58"/>
    </x:row>
    <x:row r="83" ht="31" customHeight="1">
      <x:c r="A83" s="56" t="str">
        <x:v>3 · Downside proposal</x:v>
      </x:c>
      <x:c r="B83" s="72" t="n">
        <x:v>2032</x:v>
      </x:c>
      <x:c r="C83" s="76"/>
      <x:c r="D83" s="76"/>
    </x:row>
    <x:row r="84" ht="25" customHeight="1">
      <x:c r="A84" s="55"/>
      <x:c r="B84" s="55"/>
      <x:c r="C84" s="55"/>
      <x:c r="D84" s="55"/>
    </x:row>
    <x:row r="85" ht="25" customHeight="1">
      <x:c r="A85" s="56" t="str">
        <x:v>Selected case</x:v>
      </x:c>
      <x:c r="B85" s="87" t="str">
        <x:f>'Funding inputs'!B6</x:f>
        <x:v>Service target proposal</x:v>
      </x:c>
      <x:c r="C85" s="56"/>
      <x:c r="D85" s="56"/>
    </x:row>
    <x:row r="86" ht="25" customHeight="1">
      <x:c r="A86" s="55"/>
      <x:c r="B86" s="55"/>
      <x:c r="C86" s="55"/>
      <x:c r="D86" s="55"/>
    </x:row>
    <x:row r="87" ht="25" customHeight="1">
      <x:c r="A87" s="56"/>
      <x:c r="B87" s="56"/>
      <x:c r="C87" s="56"/>
      <x:c r="D87" s="56"/>
    </x:row>
    <x:row r="88" ht="25" customHeight="1">
      <x:c r="A88" s="55"/>
      <x:c r="B88" s="55"/>
      <x:c r="C88" s="55"/>
      <x:c r="D88" s="55"/>
    </x:row>
    <x:row r="89" ht="25" customHeight="1">
      <x:c r="A89" s="56"/>
      <x:c r="B89" s="56"/>
      <x:c r="C89" s="56"/>
      <x:c r="D89" s="56"/>
    </x:row>
    <x:row r="90" ht="25" customHeight="1">
      <x:c r="A90" s="55"/>
      <x:c r="B90" s="55"/>
      <x:c r="C90" s="55"/>
      <x:c r="D90" s="55"/>
    </x:row>
    <x:row r="91" ht="25" customHeight="1">
      <x:c r="A91" s="56"/>
      <x:c r="B91" s="56"/>
      <x:c r="C91" s="56"/>
      <x:c r="D91" s="56"/>
    </x:row>
    <x:row r="92" ht="25" customHeight="1">
      <x:c r="A92" s="55"/>
      <x:c r="B92" s="55"/>
      <x:c r="C92" s="55"/>
      <x:c r="D92" s="55"/>
    </x:row>
    <x:row r="93" ht="25" customHeight="1">
      <x:c r="A93" s="56"/>
      <x:c r="B93" s="56"/>
      <x:c r="C93" s="56"/>
      <x:c r="D93" s="56"/>
    </x:row>
    <x:row r="94" ht="25" customHeight="1">
      <x:c r="A94" s="55"/>
      <x:c r="B94" s="55"/>
      <x:c r="C94" s="55"/>
      <x:c r="D94" s="55"/>
    </x:row>
    <x:row r="95" ht="25" customHeight="1">
      <x:c r="A95" s="56"/>
      <x:c r="B95" s="56"/>
      <x:c r="C95" s="56"/>
      <x:c r="D95" s="56"/>
    </x:row>
    <x:row r="96" ht="25" customHeight="1">
      <x:c r="A96" s="55"/>
      <x:c r="B96" s="55"/>
      <x:c r="C96" s="55"/>
      <x:c r="D96" s="55"/>
    </x:row>
    <x:row r="97" ht="25" customHeight="1">
      <x:c r="A97" s="56"/>
      <x:c r="B97" s="56"/>
      <x:c r="C97" s="56"/>
      <x:c r="D97" s="56"/>
    </x:row>
    <x:row r="98" ht="25" customHeight="1">
      <x:c r="A98" s="55"/>
      <x:c r="B98" s="55"/>
      <x:c r="C98" s="55"/>
      <x:c r="D98" s="55"/>
    </x:row>
    <x:row r="99" ht="25" customHeight="1">
      <x:c r="A99" s="56"/>
      <x:c r="B99" s="56"/>
      <x:c r="C99" s="56"/>
      <x:c r="D99" s="56"/>
    </x:row>
    <x:row r="100" ht="25" customHeight="1">
      <x:c r="A100" s="55"/>
      <x:c r="B100" s="55"/>
      <x:c r="C100" s="55"/>
      <x:c r="D100" s="55"/>
    </x:row>
    <x:row r="101" ht="25" customHeight="1">
      <x:c r="A101" s="56"/>
      <x:c r="B101" s="56"/>
      <x:c r="C101" s="56"/>
      <x:c r="D101" s="56"/>
    </x:row>
    <x:row r="102" ht="25" customHeight="1">
      <x:c r="A102" s="55"/>
      <x:c r="B102" s="55"/>
      <x:c r="C102" s="55"/>
      <x:c r="D102" s="55"/>
    </x:row>
    <x:row r="103" ht="25" customHeight="1">
      <x:c r="A103" s="56"/>
      <x:c r="B103" s="56"/>
      <x:c r="C103" s="56"/>
      <x:c r="D103" s="56"/>
    </x:row>
    <x:row r="104" ht="25" customHeight="1">
      <x:c r="A104" s="55"/>
      <x:c r="B104" s="55"/>
      <x:c r="C104" s="55"/>
      <x:c r="D104" s="55"/>
    </x:row>
    <x:row r="105" ht="25" customHeight="1">
      <x:c r="A105" s="56"/>
      <x:c r="B105" s="56"/>
      <x:c r="C105" s="56"/>
      <x:c r="D105" s="56"/>
    </x:row>
    <x:row r="106" ht="25" customHeight="1">
      <x:c r="A106" s="55"/>
      <x:c r="B106" s="55"/>
      <x:c r="C106" s="55"/>
      <x:c r="D106" s="55"/>
    </x:row>
    <x:row r="107" ht="25" customHeight="1">
      <x:c r="A107" s="56"/>
      <x:c r="B107" s="56"/>
      <x:c r="C107" s="56"/>
      <x:c r="D107" s="56"/>
    </x:row>
    <x:row r="108" ht="25" customHeight="1">
      <x:c r="A108" s="55"/>
      <x:c r="B108" s="55"/>
      <x:c r="C108" s="55"/>
      <x:c r="D108" s="55"/>
    </x:row>
    <x:row r="109" ht="25" customHeight="1">
      <x:c r="A109" s="56"/>
      <x:c r="B109" s="56"/>
      <x:c r="C109" s="56"/>
      <x:c r="D109" s="56"/>
    </x:row>
    <x:row r="110" ht="25" customHeight="1">
      <x:c r="A110" s="55"/>
      <x:c r="B110" s="55"/>
      <x:c r="C110" s="55"/>
      <x:c r="D110" s="55"/>
    </x:row>
    <x:row r="111" ht="25" customHeight="1">
      <x:c r="A111" s="56"/>
      <x:c r="B111" s="56"/>
      <x:c r="C111" s="56"/>
      <x:c r="D111" s="56"/>
    </x:row>
    <x:row r="112" ht="25" customHeight="1">
      <x:c r="A112" s="55"/>
      <x:c r="B112" s="55"/>
      <x:c r="C112" s="55"/>
      <x:c r="D112" s="55"/>
    </x:row>
    <x:row r="113" ht="25" customHeight="1">
      <x:c r="A113" s="56"/>
      <x:c r="B113" s="56"/>
      <x:c r="C113" s="56"/>
      <x:c r="D113" s="56"/>
    </x:row>
    <x:row r="114" ht="25" customHeight="1">
      <x:c r="A114" s="55"/>
      <x:c r="B114" s="55"/>
      <x:c r="C114" s="55"/>
      <x:c r="D114" s="55"/>
    </x:row>
    <x:row r="115" ht="25" customHeight="1">
      <x:c r="A115" s="56"/>
      <x:c r="B115" s="56"/>
      <x:c r="C115" s="56"/>
      <x:c r="D115" s="56"/>
    </x:row>
    <x:row r="116" ht="25" customHeight="1">
      <x:c r="A116" s="55"/>
      <x:c r="B116" s="55"/>
      <x:c r="C116" s="55"/>
      <x:c r="D116" s="55"/>
    </x:row>
    <x:row r="117" ht="25" customHeight="1">
      <x:c r="A117" s="56"/>
      <x:c r="B117" s="56"/>
      <x:c r="C117" s="56"/>
      <x:c r="D117" s="56"/>
    </x:row>
    <x:row r="118" ht="25" customHeight="1">
      <x:c r="A118" s="55"/>
      <x:c r="B118" s="55"/>
      <x:c r="C118" s="55"/>
      <x:c r="D118" s="55"/>
    </x:row>
    <x:row r="119" ht="25" customHeight="1">
      <x:c r="A119" s="56"/>
      <x:c r="B119" s="56"/>
      <x:c r="C119" s="56"/>
      <x:c r="D119" s="56"/>
    </x:row>
    <x:row r="120" ht="25" customHeight="1">
      <x:c r="A120" s="55"/>
      <x:c r="B120" s="55"/>
      <x:c r="C120" s="55"/>
      <x:c r="D120" s="55"/>
    </x:row>
    <x:row r="121" ht="25" customHeight="1">
      <x:c r="A121" s="56"/>
      <x:c r="B121" s="56"/>
      <x:c r="C121" s="56"/>
      <x:c r="D121" s="56"/>
    </x:row>
    <x:row r="122" ht="25" customHeight="1">
      <x:c r="A122" s="55"/>
      <x:c r="B122" s="55"/>
      <x:c r="C122" s="55"/>
      <x:c r="D122" s="55"/>
    </x:row>
    <x:row r="123" ht="25" customHeight="1">
      <x:c r="A123" s="56"/>
      <x:c r="B123" s="56"/>
      <x:c r="C123" s="56"/>
      <x:c r="D123" s="56"/>
    </x:row>
    <x:row r="124" ht="25" customHeight="1">
      <x:c r="A124" s="55"/>
      <x:c r="B124" s="55"/>
      <x:c r="C124" s="55"/>
      <x:c r="D124" s="55"/>
    </x:row>
    <x:row r="125" ht="25" customHeight="1">
      <x:c r="A125" s="56"/>
      <x:c r="B125" s="56"/>
      <x:c r="C125" s="56"/>
      <x:c r="D125" s="56"/>
    </x:row>
    <x:row r="126" ht="25" customHeight="1">
      <x:c r="A126" s="55"/>
      <x:c r="B126" s="55"/>
      <x:c r="C126" s="55"/>
      <x:c r="D126" s="55"/>
    </x:row>
    <x:row r="127" ht="25" customHeight="1">
      <x:c r="A127" s="56"/>
      <x:c r="B127" s="56"/>
      <x:c r="C127" s="56"/>
      <x:c r="D127" s="56"/>
    </x:row>
    <x:row r="128" ht="25" customHeight="1">
      <x:c r="A128" s="55"/>
      <x:c r="B128" s="55"/>
      <x:c r="C128" s="55"/>
      <x:c r="D128" s="55"/>
    </x:row>
    <x:row r="129" ht="25" customHeight="1">
      <x:c r="A129" s="56"/>
      <x:c r="B129" s="56"/>
      <x:c r="C129" s="56"/>
      <x:c r="D129" s="56"/>
    </x:row>
    <x:row r="130" ht="25" customHeight="1">
      <x:c r="A130" s="55"/>
      <x:c r="B130" s="55"/>
      <x:c r="C130" s="55"/>
      <x:c r="D130" s="55"/>
    </x:row>
  </x:sheetData>
  <x:mergeCells>
    <x:mergeCell ref="B85:D85"/>
    <x:mergeCell ref="A2:C2"/>
  </x:mergeCells>
  <x:dataValidations count="1">
    <x:dataValidation type="list" sqref="B5">
      <x:formula1>"1,2,3"</x:formula1>
    </x:dataValidation>
  </x:dataValidations>
  <x:pageMargins left="0.7" right="0.7" top="0.75" bottom="0.75" header="0.3" footer="0.3"/>
</x:worksheet>
</file>

<file path=xl/worksheets/sheet14.xml><?xml version="1.0" encoding="utf-8"?>
<x:worksheet xmlns:x="http://schemas.openxmlformats.org/spreadsheetml/2006/main">
  <x:sheetPr>
    <x:tabColor rgb="FF173E38"/>
  </x:sheetPr>
  <x:sheetViews>
    <x:sheetView showGridLines="0" workbookViewId="0">
      <x:pane ySplit="4" topLeftCell="A5" activePane="bottomLeft" state="frozen"/>
    </x:sheetView>
  </x:sheetViews>
  <x:sheetFormatPr defaultRowHeight="15"/>
  <x:cols>
    <x:col min="1" max="1" width="5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s>
  <x:sheetData>
    <x:row r="1" ht="34" customHeight="1">
      <x:c r="A1" s="54" t="str">
        <x:v>Funding forecast</x:v>
      </x:c>
    </x:row>
    <x:row r="2" ht="62" customHeight="1">
      <x:c r="A2" s="3" t="str">
        <x:v>FY labels use fiscal START year. This models the levy-supported operating block + added service, renewal, backlog and a growth allowance. The rest of the adopted operating budget is conditionally preserved outside this forecast; it is NOT a fully reconciled bureau forecast.</x:v>
      </x:c>
      <x:c r="B2" s="3"/>
      <x:c r="C2" s="3"/>
      <x:c r="D2" s="3"/>
      <x:c r="E2" s="3"/>
      <x:c r="F2" s="3"/>
      <x:c r="G2" s="3"/>
      <x:c r="H2" s="3"/>
      <x:c r="I2" s="3"/>
      <x:c r="J2" s="3"/>
      <x:c r="K2" s="3"/>
      <x:c r="L2" s="3"/>
      <x:c r="M2" s="3"/>
      <x:c r="N2" s="3"/>
      <x:c r="O2" s="3"/>
      <x:c r="P2" s="3"/>
      <x:c r="Q2" s="3"/>
      <x:c r="R2" s="3"/>
      <x:c r="S2" s="3"/>
      <x:c r="T2" s="3"/>
      <x:c r="U2" s="3"/>
    </x:row>
    <x:row r="4" ht="36" customHeight="1">
      <x:c r="A4" s="6" t="str">
        <x:v>Annual funding schedule</x:v>
      </x:c>
      <x:c r="B4" s="6" t="n">
        <x:v>2026</x:v>
      </x:c>
      <x:c r="C4" s="6" t="n">
        <x:v>2027</x:v>
      </x:c>
      <x:c r="D4" s="6" t="n">
        <x:v>2028</x:v>
      </x:c>
      <x:c r="E4" s="6" t="n">
        <x:v>2029</x:v>
      </x:c>
      <x:c r="F4" s="6" t="n">
        <x:v>2030</x:v>
      </x:c>
      <x:c r="G4" s="6" t="n">
        <x:v>2031</x:v>
      </x:c>
      <x:c r="H4" s="6" t="n">
        <x:v>2032</x:v>
      </x:c>
      <x:c r="I4" s="6" t="n">
        <x:v>2033</x:v>
      </x:c>
      <x:c r="J4" s="6" t="n">
        <x:v>2034</x:v>
      </x:c>
      <x:c r="K4" s="6" t="n">
        <x:v>2035</x:v>
      </x:c>
      <x:c r="L4" s="6" t="n">
        <x:v>2036</x:v>
      </x:c>
      <x:c r="M4" s="6" t="n">
        <x:v>2037</x:v>
      </x:c>
      <x:c r="N4" s="6" t="n">
        <x:v>2038</x:v>
      </x:c>
      <x:c r="O4" s="6" t="n">
        <x:v>2039</x:v>
      </x:c>
      <x:c r="P4" s="6" t="n">
        <x:v>2040</x:v>
      </x:c>
      <x:c r="Q4" s="6" t="n">
        <x:v>2041</x:v>
      </x:c>
      <x:c r="R4" s="6" t="n">
        <x:v>2042</x:v>
      </x:c>
      <x:c r="S4" s="6" t="n">
        <x:v>2043</x:v>
      </x:c>
      <x:c r="T4" s="6" t="n">
        <x:v>2044</x:v>
      </x:c>
      <x:c r="U4" s="6" t="n">
        <x:v>2045</x:v>
      </x:c>
    </x:row>
    <x:row r="5" ht="25" customHeight="1">
      <x:c r="A5" s="56" t="str">
        <x:v>Existing levy-supported services: cost</x:v>
      </x:c>
      <x:c r="B5" s="91" t="n">
        <x:f>'Funding inputs'!$B$10*'Funding inputs'!$B$11/'Funding inputs'!$B$12*(1+'Funding inputs'!$B$40)^(B$4-'Funding inputs'!$B$15)</x:f>
        <x:v>79827378.22142857</x:v>
      </x:c>
      <x:c r="C5" s="91" t="n">
        <x:f>'Funding inputs'!$B$10*'Funding inputs'!$B$11/'Funding inputs'!$B$12*(1+'Funding inputs'!$B$40)^(C$4-'Funding inputs'!$B$15)</x:f>
        <x:v>83419610.24139285</x:v>
      </x:c>
      <x:c r="D5" s="91" t="n">
        <x:f>'Funding inputs'!$B$10*'Funding inputs'!$B$11/'Funding inputs'!$B$12*(1+'Funding inputs'!$B$40)^(D$4-'Funding inputs'!$B$15)</x:f>
        <x:v>87173492.70225552</x:v>
      </x:c>
      <x:c r="E5" s="91" t="n">
        <x:f>'Funding inputs'!$B$10*'Funding inputs'!$B$11/'Funding inputs'!$B$12*(1+'Funding inputs'!$B$40)^(E$4-'Funding inputs'!$B$15)</x:f>
        <x:v>91096299.87385702</x:v>
      </x:c>
      <x:c r="F5" s="91" t="n">
        <x:f>'Funding inputs'!$B$10*'Funding inputs'!$B$11/'Funding inputs'!$B$12*(1+'Funding inputs'!$B$40)^(F$4-'Funding inputs'!$B$15)</x:f>
        <x:v>95195633.36818057</x:v>
      </x:c>
      <x:c r="G5" s="91" t="n">
        <x:f>'Funding inputs'!$B$10*'Funding inputs'!$B$11/'Funding inputs'!$B$12*(1+'Funding inputs'!$B$40)^(G$4-'Funding inputs'!$B$15)</x:f>
        <x:v>99479436.86974871</x:v>
      </x:c>
      <x:c r="H5" s="91" t="n">
        <x:f>'Funding inputs'!$B$10*'Funding inputs'!$B$11/'Funding inputs'!$B$12*(1+'Funding inputs'!$B$40)^(H$4-'Funding inputs'!$B$15)</x:f>
        <x:v>103956011.52888739</x:v>
      </x:c>
      <x:c r="I5" s="91" t="n">
        <x:f>'Funding inputs'!$B$10*'Funding inputs'!$B$11/'Funding inputs'!$B$12*(1+'Funding inputs'!$B$40)^(I$4-'Funding inputs'!$B$15)</x:f>
        <x:v>108634032.0476873</x:v>
      </x:c>
      <x:c r="J5" s="91" t="n">
        <x:f>'Funding inputs'!$B$10*'Funding inputs'!$B$11/'Funding inputs'!$B$12*(1+'Funding inputs'!$B$40)^(J$4-'Funding inputs'!$B$15)</x:f>
        <x:v>113522563.48983322</x:v>
      </x:c>
      <x:c r="K5" s="91" t="n">
        <x:f>'Funding inputs'!$B$10*'Funding inputs'!$B$11/'Funding inputs'!$B$12*(1+'Funding inputs'!$B$40)^(K$4-'Funding inputs'!$B$15)</x:f>
        <x:v>118631078.84687571</x:v>
      </x:c>
      <x:c r="L5" s="91" t="n">
        <x:f>'Funding inputs'!$B$10*'Funding inputs'!$B$11/'Funding inputs'!$B$12*(1+'Funding inputs'!$B$40)^(L$4-'Funding inputs'!$B$15)</x:f>
        <x:v>123969477.39498511</x:v>
      </x:c>
      <x:c r="M5" s="91" t="n">
        <x:f>'Funding inputs'!$B$10*'Funding inputs'!$B$11/'Funding inputs'!$B$12*(1+'Funding inputs'!$B$40)^(M$4-'Funding inputs'!$B$15)</x:f>
        <x:v>129548103.87775944</x:v>
      </x:c>
      <x:c r="N5" s="91" t="n">
        <x:f>'Funding inputs'!$B$10*'Funding inputs'!$B$11/'Funding inputs'!$B$12*(1+'Funding inputs'!$B$40)^(N$4-'Funding inputs'!$B$15)</x:f>
        <x:v>135377768.55225858</x:v>
      </x:c>
      <x:c r="O5" s="91" t="n">
        <x:f>'Funding inputs'!$B$10*'Funding inputs'!$B$11/'Funding inputs'!$B$12*(1+'Funding inputs'!$B$40)^(O$4-'Funding inputs'!$B$15)</x:f>
        <x:v>141469768.13711023</x:v>
      </x:c>
      <x:c r="P5" s="91" t="n">
        <x:f>'Funding inputs'!$B$10*'Funding inputs'!$B$11/'Funding inputs'!$B$12*(1+'Funding inputs'!$B$40)^(P$4-'Funding inputs'!$B$15)</x:f>
        <x:v>147835907.70328018</x:v>
      </x:c>
      <x:c r="Q5" s="91" t="n">
        <x:f>'Funding inputs'!$B$10*'Funding inputs'!$B$11/'Funding inputs'!$B$12*(1+'Funding inputs'!$B$40)^(Q$4-'Funding inputs'!$B$15)</x:f>
        <x:v>154488523.54992777</x:v>
      </x:c>
      <x:c r="R5" s="91" t="n">
        <x:f>'Funding inputs'!$B$10*'Funding inputs'!$B$11/'Funding inputs'!$B$12*(1+'Funding inputs'!$B$40)^(R$4-'Funding inputs'!$B$15)</x:f>
        <x:v>161440507.1096745</x:v>
      </x:c>
      <x:c r="S5" s="91" t="n">
        <x:f>'Funding inputs'!$B$10*'Funding inputs'!$B$11/'Funding inputs'!$B$12*(1+'Funding inputs'!$B$40)^(S$4-'Funding inputs'!$B$15)</x:f>
        <x:v>168705329.92960984</x:v>
      </x:c>
      <x:c r="T5" s="91" t="n">
        <x:f>'Funding inputs'!$B$10*'Funding inputs'!$B$11/'Funding inputs'!$B$12*(1+'Funding inputs'!$B$40)^(T$4-'Funding inputs'!$B$15)</x:f>
        <x:v>176297069.7764423</x:v>
      </x:c>
      <x:c r="U5" s="91" t="n">
        <x:f>'Funding inputs'!$B$10*'Funding inputs'!$B$11/'Funding inputs'!$B$12*(1+'Funding inputs'!$B$40)^(U$4-'Funding inputs'!$B$15)</x:f>
        <x:v>184230437.91638216</x:v>
      </x:c>
    </x:row>
    <x:row r="6" ht="25" customHeight="1">
      <x:c r="A6" s="55" t="str">
        <x:v>Additional modeled operating services: cost</x:v>
      </x:c>
      <x:c r="B6" s="78" t="n">
        <x:f>IF(B$4&gt;='Funding inputs'!$B$17,(Staffing!$F$13-Staffing!$E$13)*(1+'Funding inputs'!$B$40)^(B$4-'Funding inputs'!$B$15),0)</x:f>
        <x:v>0</x:v>
      </x:c>
      <x:c r="C6" s="78" t="n">
        <x:f>IF(C$4&gt;='Funding inputs'!$B$17,(Staffing!$F$13-Staffing!$E$13)*(1+'Funding inputs'!$B$40)^(C$4-'Funding inputs'!$B$15),0)</x:f>
        <x:v>0</x:v>
      </x:c>
      <x:c r="D6" s="78" t="n">
        <x:f>IF(D$4&gt;='Funding inputs'!$B$17,(Staffing!$F$13-Staffing!$E$13)*(1+'Funding inputs'!$B$40)^(D$4-'Funding inputs'!$B$15),0)</x:f>
        <x:v>18441043.647399995</x:v>
      </x:c>
      <x:c r="E6" s="78" t="n">
        <x:f>IF(E$4&gt;='Funding inputs'!$B$17,(Staffing!$F$13-Staffing!$E$13)*(1+'Funding inputs'!$B$40)^(E$4-'Funding inputs'!$B$15),0)</x:f>
        <x:v>19270890.611532997</x:v>
      </x:c>
      <x:c r="F6" s="78" t="n">
        <x:f>IF(F$4&gt;='Funding inputs'!$B$17,(Staffing!$F$13-Staffing!$E$13)*(1+'Funding inputs'!$B$40)^(F$4-'Funding inputs'!$B$15),0)</x:f>
        <x:v>20138080.68905198</x:v>
      </x:c>
      <x:c r="G6" s="78" t="n">
        <x:f>IF(G$4&gt;='Funding inputs'!$B$17,(Staffing!$F$13-Staffing!$E$13)*(1+'Funding inputs'!$B$40)^(G$4-'Funding inputs'!$B$15),0)</x:f>
        <x:v>21044294.320059318</x:v>
      </x:c>
      <x:c r="H6" s="78" t="n">
        <x:f>IF(H$4&gt;='Funding inputs'!$B$17,(Staffing!$F$13-Staffing!$E$13)*(1+'Funding inputs'!$B$40)^(H$4-'Funding inputs'!$B$15),0)</x:f>
        <x:v>21991287.564461987</x:v>
      </x:c>
      <x:c r="I6" s="78" t="n">
        <x:f>IF(I$4&gt;='Funding inputs'!$B$17,(Staffing!$F$13-Staffing!$E$13)*(1+'Funding inputs'!$B$40)^(I$4-'Funding inputs'!$B$15),0)</x:f>
        <x:v>22980895.504862774</x:v>
      </x:c>
      <x:c r="J6" s="78" t="n">
        <x:f>IF(J$4&gt;='Funding inputs'!$B$17,(Staffing!$F$13-Staffing!$E$13)*(1+'Funding inputs'!$B$40)^(J$4-'Funding inputs'!$B$15),0)</x:f>
        <x:v>24015035.802581593</x:v>
      </x:c>
      <x:c r="K6" s="78" t="n">
        <x:f>IF(K$4&gt;='Funding inputs'!$B$17,(Staffing!$F$13-Staffing!$E$13)*(1+'Funding inputs'!$B$40)^(K$4-'Funding inputs'!$B$15),0)</x:f>
        <x:v>25095712.413697764</x:v>
      </x:c>
      <x:c r="L6" s="78" t="n">
        <x:f>IF(L$4&gt;='Funding inputs'!$B$17,(Staffing!$F$13-Staffing!$E$13)*(1+'Funding inputs'!$B$40)^(L$4-'Funding inputs'!$B$15),0)</x:f>
        <x:v>26225019.472314164</x:v>
      </x:c>
      <x:c r="M6" s="78" t="n">
        <x:f>IF(M$4&gt;='Funding inputs'!$B$17,(Staffing!$F$13-Staffing!$E$13)*(1+'Funding inputs'!$B$40)^(M$4-'Funding inputs'!$B$15),0)</x:f>
        <x:v>27405145.348568298</x:v>
      </x:c>
      <x:c r="N6" s="78" t="n">
        <x:f>IF(N$4&gt;='Funding inputs'!$B$17,(Staffing!$F$13-Staffing!$E$13)*(1+'Funding inputs'!$B$40)^(N$4-'Funding inputs'!$B$15),0)</x:f>
        <x:v>28638376.88925387</x:v>
      </x:c>
      <x:c r="O6" s="78" t="n">
        <x:f>IF(O$4&gt;='Funding inputs'!$B$17,(Staffing!$F$13-Staffing!$E$13)*(1+'Funding inputs'!$B$40)^(O$4-'Funding inputs'!$B$15),0)</x:f>
        <x:v>29927103.84927029</x:v>
      </x:c>
      <x:c r="P6" s="78" t="n">
        <x:f>IF(P$4&gt;='Funding inputs'!$B$17,(Staffing!$F$13-Staffing!$E$13)*(1+'Funding inputs'!$B$40)^(P$4-'Funding inputs'!$B$15),0)</x:f>
        <x:v>31273823.522487454</x:v>
      </x:c>
      <x:c r="Q6" s="78" t="n">
        <x:f>IF(Q$4&gt;='Funding inputs'!$B$17,(Staffing!$F$13-Staffing!$E$13)*(1+'Funding inputs'!$B$40)^(Q$4-'Funding inputs'!$B$15),0)</x:f>
        <x:v>32681145.580999386</x:v>
      </x:c>
      <x:c r="R6" s="78" t="n">
        <x:f>IF(R$4&gt;='Funding inputs'!$B$17,(Staffing!$F$13-Staffing!$E$13)*(1+'Funding inputs'!$B$40)^(R$4-'Funding inputs'!$B$15),0)</x:f>
        <x:v>34151797.13214436</x:v>
      </x:c>
      <x:c r="S6" s="78" t="n">
        <x:f>IF(S$4&gt;='Funding inputs'!$B$17,(Staffing!$F$13-Staffing!$E$13)*(1+'Funding inputs'!$B$40)^(S$4-'Funding inputs'!$B$15),0)</x:f>
        <x:v>35688628.00309085</x:v>
      </x:c>
      <x:c r="T6" s="78" t="n">
        <x:f>IF(T$4&gt;='Funding inputs'!$B$17,(Staffing!$F$13-Staffing!$E$13)*(1+'Funding inputs'!$B$40)^(T$4-'Funding inputs'!$B$15),0)</x:f>
        <x:v>37294616.26322994</x:v>
      </x:c>
      <x:c r="U6" s="78" t="n">
        <x:f>IF(U$4&gt;='Funding inputs'!$B$17,(Staffing!$F$13-Staffing!$E$13)*(1+'Funding inputs'!$B$40)^(U$4-'Funding inputs'!$B$15),0)</x:f>
        <x:v>38972873.99507528</x:v>
      </x:c>
    </x:row>
    <x:row r="7" ht="25" customHeight="1">
      <x:c r="A7" s="56" t="str">
        <x:v>GF withdrawal and other funding losses</x:v>
      </x:c>
      <x:c r="B7" s="91" t="n">
        <x:f>IF(B$4&gt;='Funding inputs'!$B$17,('Funding inputs'!$B$13*'Funding inputs'!$B$60+'Funding inputs'!$B$30)*(1+'Funding inputs'!$B$22)^(B$4-'Funding inputs'!$B$15),0)</x:f>
        <x:v>0</x:v>
      </x:c>
      <x:c r="C7" s="91" t="n">
        <x:f>IF(C$4&gt;='Funding inputs'!$B$17,('Funding inputs'!$B$13*'Funding inputs'!$B$60+'Funding inputs'!$B$30)*(1+'Funding inputs'!$B$22)^(C$4-'Funding inputs'!$B$15),0)</x:f>
        <x:v>0</x:v>
      </x:c>
      <x:c r="D7" s="91" t="n">
        <x:f>IF(D$4&gt;='Funding inputs'!$B$17,('Funding inputs'!$B$13*'Funding inputs'!$B$60+'Funding inputs'!$B$30)*(1+'Funding inputs'!$B$22)^(D$4-'Funding inputs'!$B$15),0)</x:f>
        <x:v>0</x:v>
      </x:c>
      <x:c r="E7" s="91" t="n">
        <x:f>IF(E$4&gt;='Funding inputs'!$B$17,('Funding inputs'!$B$13*'Funding inputs'!$B$60+'Funding inputs'!$B$30)*(1+'Funding inputs'!$B$22)^(E$4-'Funding inputs'!$B$15),0)</x:f>
        <x:v>0</x:v>
      </x:c>
      <x:c r="F7" s="91" t="n">
        <x:f>IF(F$4&gt;='Funding inputs'!$B$17,('Funding inputs'!$B$13*'Funding inputs'!$B$60+'Funding inputs'!$B$30)*(1+'Funding inputs'!$B$22)^(F$4-'Funding inputs'!$B$15),0)</x:f>
        <x:v>0</x:v>
      </x:c>
      <x:c r="G7" s="91" t="n">
        <x:f>IF(G$4&gt;='Funding inputs'!$B$17,('Funding inputs'!$B$13*'Funding inputs'!$B$60+'Funding inputs'!$B$30)*(1+'Funding inputs'!$B$22)^(G$4-'Funding inputs'!$B$15),0)</x:f>
        <x:v>0</x:v>
      </x:c>
      <x:c r="H7" s="91" t="n">
        <x:f>IF(H$4&gt;='Funding inputs'!$B$17,('Funding inputs'!$B$13*'Funding inputs'!$B$60+'Funding inputs'!$B$30)*(1+'Funding inputs'!$B$22)^(H$4-'Funding inputs'!$B$15),0)</x:f>
        <x:v>0</x:v>
      </x:c>
      <x:c r="I7" s="91" t="n">
        <x:f>IF(I$4&gt;='Funding inputs'!$B$17,('Funding inputs'!$B$13*'Funding inputs'!$B$60+'Funding inputs'!$B$30)*(1+'Funding inputs'!$B$22)^(I$4-'Funding inputs'!$B$15),0)</x:f>
        <x:v>0</x:v>
      </x:c>
      <x:c r="J7" s="91" t="n">
        <x:f>IF(J$4&gt;='Funding inputs'!$B$17,('Funding inputs'!$B$13*'Funding inputs'!$B$60+'Funding inputs'!$B$30)*(1+'Funding inputs'!$B$22)^(J$4-'Funding inputs'!$B$15),0)</x:f>
        <x:v>0</x:v>
      </x:c>
      <x:c r="K7" s="91" t="n">
        <x:f>IF(K$4&gt;='Funding inputs'!$B$17,('Funding inputs'!$B$13*'Funding inputs'!$B$60+'Funding inputs'!$B$30)*(1+'Funding inputs'!$B$22)^(K$4-'Funding inputs'!$B$15),0)</x:f>
        <x:v>0</x:v>
      </x:c>
      <x:c r="L7" s="91" t="n">
        <x:f>IF(L$4&gt;='Funding inputs'!$B$17,('Funding inputs'!$B$13*'Funding inputs'!$B$60+'Funding inputs'!$B$30)*(1+'Funding inputs'!$B$22)^(L$4-'Funding inputs'!$B$15),0)</x:f>
        <x:v>0</x:v>
      </x:c>
      <x:c r="M7" s="91" t="n">
        <x:f>IF(M$4&gt;='Funding inputs'!$B$17,('Funding inputs'!$B$13*'Funding inputs'!$B$60+'Funding inputs'!$B$30)*(1+'Funding inputs'!$B$22)^(M$4-'Funding inputs'!$B$15),0)</x:f>
        <x:v>0</x:v>
      </x:c>
      <x:c r="N7" s="91" t="n">
        <x:f>IF(N$4&gt;='Funding inputs'!$B$17,('Funding inputs'!$B$13*'Funding inputs'!$B$60+'Funding inputs'!$B$30)*(1+'Funding inputs'!$B$22)^(N$4-'Funding inputs'!$B$15),0)</x:f>
        <x:v>0</x:v>
      </x:c>
      <x:c r="O7" s="91" t="n">
        <x:f>IF(O$4&gt;='Funding inputs'!$B$17,('Funding inputs'!$B$13*'Funding inputs'!$B$60+'Funding inputs'!$B$30)*(1+'Funding inputs'!$B$22)^(O$4-'Funding inputs'!$B$15),0)</x:f>
        <x:v>0</x:v>
      </x:c>
      <x:c r="P7" s="91" t="n">
        <x:f>IF(P$4&gt;='Funding inputs'!$B$17,('Funding inputs'!$B$13*'Funding inputs'!$B$60+'Funding inputs'!$B$30)*(1+'Funding inputs'!$B$22)^(P$4-'Funding inputs'!$B$15),0)</x:f>
        <x:v>0</x:v>
      </x:c>
      <x:c r="Q7" s="91" t="n">
        <x:f>IF(Q$4&gt;='Funding inputs'!$B$17,('Funding inputs'!$B$13*'Funding inputs'!$B$60+'Funding inputs'!$B$30)*(1+'Funding inputs'!$B$22)^(Q$4-'Funding inputs'!$B$15),0)</x:f>
        <x:v>0</x:v>
      </x:c>
      <x:c r="R7" s="91" t="n">
        <x:f>IF(R$4&gt;='Funding inputs'!$B$17,('Funding inputs'!$B$13*'Funding inputs'!$B$60+'Funding inputs'!$B$30)*(1+'Funding inputs'!$B$22)^(R$4-'Funding inputs'!$B$15),0)</x:f>
        <x:v>0</x:v>
      </x:c>
      <x:c r="S7" s="91" t="n">
        <x:f>IF(S$4&gt;='Funding inputs'!$B$17,('Funding inputs'!$B$13*'Funding inputs'!$B$60+'Funding inputs'!$B$30)*(1+'Funding inputs'!$B$22)^(S$4-'Funding inputs'!$B$15),0)</x:f>
        <x:v>0</x:v>
      </x:c>
      <x:c r="T7" s="91" t="n">
        <x:f>IF(T$4&gt;='Funding inputs'!$B$17,('Funding inputs'!$B$13*'Funding inputs'!$B$60+'Funding inputs'!$B$30)*(1+'Funding inputs'!$B$22)^(T$4-'Funding inputs'!$B$15),0)</x:f>
        <x:v>0</x:v>
      </x:c>
      <x:c r="U7" s="91" t="n">
        <x:f>IF(U$4&gt;='Funding inputs'!$B$17,('Funding inputs'!$B$13*'Funding inputs'!$B$60+'Funding inputs'!$B$30)*(1+'Funding inputs'!$B$22)^(U$4-'Funding inputs'!$B$15),0)</x:f>
        <x:v>0</x:v>
      </x:c>
    </x:row>
    <x:row r="8" ht="25" customHeight="1">
      <x:c r="A8" s="103" t="str">
        <x:v>Modeled operating requirement</x:v>
      </x:c>
      <x:c r="B8" s="104" t="n">
        <x:f>SUM(B5:B7)</x:f>
        <x:v>79827378.22142857</x:v>
      </x:c>
      <x:c r="C8" s="104" t="n">
        <x:f>SUM(C5:C7)</x:f>
        <x:v>83419610.24139285</x:v>
      </x:c>
      <x:c r="D8" s="104" t="n">
        <x:f>SUM(D5:D7)</x:f>
        <x:v>105614536.34965551</x:v>
      </x:c>
      <x:c r="E8" s="104" t="n">
        <x:f>SUM(E5:E7)</x:f>
        <x:v>110367190.48539002</x:v>
      </x:c>
      <x:c r="F8" s="104" t="n">
        <x:f>SUM(F5:F7)</x:f>
        <x:v>115333714.05723256</x:v>
      </x:c>
      <x:c r="G8" s="104" t="n">
        <x:f>SUM(G5:G7)</x:f>
        <x:v>120523731.18980803</x:v>
      </x:c>
      <x:c r="H8" s="104" t="n">
        <x:f>SUM(H5:H7)</x:f>
        <x:v>125947299.09334938</x:v>
      </x:c>
      <x:c r="I8" s="104" t="n">
        <x:f>SUM(I5:I7)</x:f>
        <x:v>131614927.55255008</x:v>
      </x:c>
      <x:c r="J8" s="104" t="n">
        <x:f>SUM(J5:J7)</x:f>
        <x:v>137537599.2924148</x:v>
      </x:c>
      <x:c r="K8" s="104" t="n">
        <x:f>SUM(K5:K7)</x:f>
        <x:v>143726791.26057348</x:v>
      </x:c>
      <x:c r="L8" s="104" t="n">
        <x:f>SUM(L5:L7)</x:f>
        <x:v>150194496.86729926</x:v>
      </x:c>
      <x:c r="M8" s="104" t="n">
        <x:f>SUM(M5:M7)</x:f>
        <x:v>156953249.22632775</x:v>
      </x:c>
      <x:c r="N8" s="104" t="n">
        <x:f>SUM(N5:N7)</x:f>
        <x:v>164016145.44151247</x:v>
      </x:c>
      <x:c r="O8" s="104" t="n">
        <x:f>SUM(O5:O7)</x:f>
        <x:v>171396871.98638052</x:v>
      </x:c>
      <x:c r="P8" s="104" t="n">
        <x:f>SUM(P5:P7)</x:f>
        <x:v>179109731.22576764</x:v>
      </x:c>
      <x:c r="Q8" s="104" t="n">
        <x:f>SUM(Q5:Q7)</x:f>
        <x:v>187169669.13092715</x:v>
      </x:c>
      <x:c r="R8" s="104" t="n">
        <x:f>SUM(R5:R7)</x:f>
        <x:v>195592304.24181888</x:v>
      </x:c>
      <x:c r="S8" s="104" t="n">
        <x:f>SUM(S5:S7)</x:f>
        <x:v>204393957.9327007</x:v>
      </x:c>
      <x:c r="T8" s="104" t="n">
        <x:f>SUM(T5:T7)</x:f>
        <x:v>213591686.03967223</x:v>
      </x:c>
      <x:c r="U8" s="104" t="n">
        <x:f>SUM(U5:U7)</x:f>
        <x:v>223203311.91145745</x:v>
      </x:c>
    </x:row>
    <x:row r="9" ht="25" customHeight="1">
      <x:c r="A9" s="56" t="str">
        <x:v>Current levy: operating receipts</x:v>
      </x:c>
      <x:c r="B9" s="91" t="n">
        <x:f>IF(B$4&lt;'Funding inputs'!$B$16,'Funding inputs'!$B$10*'Funding inputs'!$B$11/'Funding inputs'!$B$12*(1+'Funding inputs'!$B$22)^(B$4-'Funding inputs'!$B$15),0)</x:f>
        <x:v>79827378.22142857</x:v>
      </x:c>
      <x:c r="C9" s="91" t="n">
        <x:f>IF(C$4&lt;'Funding inputs'!$B$16,'Funding inputs'!$B$10*'Funding inputs'!$B$11/'Funding inputs'!$B$12*(1+'Funding inputs'!$B$22)^(C$4-'Funding inputs'!$B$15),0)</x:f>
        <x:v>82222199.56807144</x:v>
      </x:c>
      <x:c r="D9" s="91" t="n">
        <x:f>IF(D$4&lt;'Funding inputs'!$B$16,'Funding inputs'!$B$10*'Funding inputs'!$B$11/'Funding inputs'!$B$12*(1+'Funding inputs'!$B$22)^(D$4-'Funding inputs'!$B$15),0)</x:f>
        <x:v>84688865.55511357</x:v>
      </x:c>
      <x:c r="E9" s="91" t="n">
        <x:f>IF(E$4&lt;'Funding inputs'!$B$16,'Funding inputs'!$B$10*'Funding inputs'!$B$11/'Funding inputs'!$B$12*(1+'Funding inputs'!$B$22)^(E$4-'Funding inputs'!$B$15),0)</x:f>
        <x:v>87229531.52176698</x:v>
      </x:c>
      <x:c r="F9" s="91" t="n">
        <x:f>IF(F$4&lt;'Funding inputs'!$B$16,'Funding inputs'!$B$10*'Funding inputs'!$B$11/'Funding inputs'!$B$12*(1+'Funding inputs'!$B$22)^(F$4-'Funding inputs'!$B$15),0)</x:f>
        <x:v>89846417.46742</x:v>
      </x:c>
      <x:c r="G9" s="91" t="n">
        <x:f>IF(G$4&lt;'Funding inputs'!$B$16,'Funding inputs'!$B$10*'Funding inputs'!$B$11/'Funding inputs'!$B$12*(1+'Funding inputs'!$B$22)^(G$4-'Funding inputs'!$B$15),0)</x:f>
        <x:v>0</x:v>
      </x:c>
      <x:c r="H9" s="91" t="n">
        <x:f>IF(H$4&lt;'Funding inputs'!$B$16,'Funding inputs'!$B$10*'Funding inputs'!$B$11/'Funding inputs'!$B$12*(1+'Funding inputs'!$B$22)^(H$4-'Funding inputs'!$B$15),0)</x:f>
        <x:v>0</x:v>
      </x:c>
      <x:c r="I9" s="91" t="n">
        <x:f>IF(I$4&lt;'Funding inputs'!$B$16,'Funding inputs'!$B$10*'Funding inputs'!$B$11/'Funding inputs'!$B$12*(1+'Funding inputs'!$B$22)^(I$4-'Funding inputs'!$B$15),0)</x:f>
        <x:v>0</x:v>
      </x:c>
      <x:c r="J9" s="91" t="n">
        <x:f>IF(J$4&lt;'Funding inputs'!$B$16,'Funding inputs'!$B$10*'Funding inputs'!$B$11/'Funding inputs'!$B$12*(1+'Funding inputs'!$B$22)^(J$4-'Funding inputs'!$B$15),0)</x:f>
        <x:v>0</x:v>
      </x:c>
      <x:c r="K9" s="91" t="n">
        <x:f>IF(K$4&lt;'Funding inputs'!$B$16,'Funding inputs'!$B$10*'Funding inputs'!$B$11/'Funding inputs'!$B$12*(1+'Funding inputs'!$B$22)^(K$4-'Funding inputs'!$B$15),0)</x:f>
        <x:v>0</x:v>
      </x:c>
      <x:c r="L9" s="91" t="n">
        <x:f>IF(L$4&lt;'Funding inputs'!$B$16,'Funding inputs'!$B$10*'Funding inputs'!$B$11/'Funding inputs'!$B$12*(1+'Funding inputs'!$B$22)^(L$4-'Funding inputs'!$B$15),0)</x:f>
        <x:v>0</x:v>
      </x:c>
      <x:c r="M9" s="91" t="n">
        <x:f>IF(M$4&lt;'Funding inputs'!$B$16,'Funding inputs'!$B$10*'Funding inputs'!$B$11/'Funding inputs'!$B$12*(1+'Funding inputs'!$B$22)^(M$4-'Funding inputs'!$B$15),0)</x:f>
        <x:v>0</x:v>
      </x:c>
      <x:c r="N9" s="91" t="n">
        <x:f>IF(N$4&lt;'Funding inputs'!$B$16,'Funding inputs'!$B$10*'Funding inputs'!$B$11/'Funding inputs'!$B$12*(1+'Funding inputs'!$B$22)^(N$4-'Funding inputs'!$B$15),0)</x:f>
        <x:v>0</x:v>
      </x:c>
      <x:c r="O9" s="91" t="n">
        <x:f>IF(O$4&lt;'Funding inputs'!$B$16,'Funding inputs'!$B$10*'Funding inputs'!$B$11/'Funding inputs'!$B$12*(1+'Funding inputs'!$B$22)^(O$4-'Funding inputs'!$B$15),0)</x:f>
        <x:v>0</x:v>
      </x:c>
      <x:c r="P9" s="91" t="n">
        <x:f>IF(P$4&lt;'Funding inputs'!$B$16,'Funding inputs'!$B$10*'Funding inputs'!$B$11/'Funding inputs'!$B$12*(1+'Funding inputs'!$B$22)^(P$4-'Funding inputs'!$B$15),0)</x:f>
        <x:v>0</x:v>
      </x:c>
      <x:c r="Q9" s="91" t="n">
        <x:f>IF(Q$4&lt;'Funding inputs'!$B$16,'Funding inputs'!$B$10*'Funding inputs'!$B$11/'Funding inputs'!$B$12*(1+'Funding inputs'!$B$22)^(Q$4-'Funding inputs'!$B$15),0)</x:f>
        <x:v>0</x:v>
      </x:c>
      <x:c r="R9" s="91" t="n">
        <x:f>IF(R$4&lt;'Funding inputs'!$B$16,'Funding inputs'!$B$10*'Funding inputs'!$B$11/'Funding inputs'!$B$12*(1+'Funding inputs'!$B$22)^(R$4-'Funding inputs'!$B$15),0)</x:f>
        <x:v>0</x:v>
      </x:c>
      <x:c r="S9" s="91" t="n">
        <x:f>IF(S$4&lt;'Funding inputs'!$B$16,'Funding inputs'!$B$10*'Funding inputs'!$B$11/'Funding inputs'!$B$12*(1+'Funding inputs'!$B$22)^(S$4-'Funding inputs'!$B$15),0)</x:f>
        <x:v>0</x:v>
      </x:c>
      <x:c r="T9" s="91" t="n">
        <x:f>IF(T$4&lt;'Funding inputs'!$B$16,'Funding inputs'!$B$10*'Funding inputs'!$B$11/'Funding inputs'!$B$12*(1+'Funding inputs'!$B$22)^(T$4-'Funding inputs'!$B$15),0)</x:f>
        <x:v>0</x:v>
      </x:c>
      <x:c r="U9" s="91" t="n">
        <x:f>IF(U$4&lt;'Funding inputs'!$B$16,'Funding inputs'!$B$10*'Funding inputs'!$B$11/'Funding inputs'!$B$12*(1+'Funding inputs'!$B$22)^(U$4-'Funding inputs'!$B$15),0)</x:f>
        <x:v>0</x:v>
      </x:c>
    </x:row>
    <x:row r="10" ht="25" customHeight="1">
      <x:c r="A10" s="55" t="str">
        <x:v>Proposed successor: operating receipts</x:v>
      </x:c>
      <x:c r="B10" s="78" t="n">
        <x:f>IF(B$4&gt;='Funding inputs'!$B$80,'Funding inputs'!$B$56*(1+'Funding inputs'!$B$44)^(B$4-'Funding inputs'!$B$80),0)</x:f>
        <x:v>0</x:v>
      </x:c>
      <x:c r="C10" s="78" t="n">
        <x:f>IF(C$4&gt;='Funding inputs'!$B$80,'Funding inputs'!$B$56*(1+'Funding inputs'!$B$44)^(C$4-'Funding inputs'!$B$80),0)</x:f>
        <x:v>0</x:v>
      </x:c>
      <x:c r="D10" s="78" t="n">
        <x:f>IF(D$4&gt;='Funding inputs'!$B$80,'Funding inputs'!$B$56*(1+'Funding inputs'!$B$44)^(D$4-'Funding inputs'!$B$80),0)</x:f>
        <x:v>0</x:v>
      </x:c>
      <x:c r="E10" s="78" t="n">
        <x:f>IF(E$4&gt;='Funding inputs'!$B$80,'Funding inputs'!$B$56*(1+'Funding inputs'!$B$44)^(E$4-'Funding inputs'!$B$80),0)</x:f>
        <x:v>0</x:v>
      </x:c>
      <x:c r="F10" s="78" t="n">
        <x:f>IF(F$4&gt;='Funding inputs'!$B$80,'Funding inputs'!$B$56*(1+'Funding inputs'!$B$44)^(F$4-'Funding inputs'!$B$80),0)</x:f>
        <x:v>0</x:v>
      </x:c>
      <x:c r="G10" s="78" t="n">
        <x:f>IF(G$4&gt;='Funding inputs'!$B$80,'Funding inputs'!$B$56*(1+'Funding inputs'!$B$44)^(G$4-'Funding inputs'!$B$80),0)</x:f>
        <x:v>109427380.5567236</x:v>
      </x:c>
      <x:c r="H10" s="78" t="n">
        <x:f>IF(H$4&gt;='Funding inputs'!$B$80,'Funding inputs'!$B$56*(1+'Funding inputs'!$B$44)^(H$4-'Funding inputs'!$B$80),0)</x:f>
        <x:v>114351612.68177615</x:v>
      </x:c>
      <x:c r="I10" s="78" t="n">
        <x:f>IF(I$4&gt;='Funding inputs'!$B$80,'Funding inputs'!$B$56*(1+'Funding inputs'!$B$44)^(I$4-'Funding inputs'!$B$80),0)</x:f>
        <x:v>119497435.25245607</x:v>
      </x:c>
      <x:c r="J10" s="78" t="n">
        <x:f>IF(J$4&gt;='Funding inputs'!$B$80,'Funding inputs'!$B$56*(1+'Funding inputs'!$B$44)^(J$4-'Funding inputs'!$B$80),0)</x:f>
        <x:v>124874819.83881658</x:v>
      </x:c>
      <x:c r="K10" s="78" t="n">
        <x:f>IF(K$4&gt;='Funding inputs'!$B$80,'Funding inputs'!$B$56*(1+'Funding inputs'!$B$44)^(K$4-'Funding inputs'!$B$80),0)</x:f>
        <x:v>130494186.73156331</x:v>
      </x:c>
      <x:c r="L10" s="78" t="n">
        <x:f>IF(L$4&gt;='Funding inputs'!$B$80,'Funding inputs'!$B$56*(1+'Funding inputs'!$B$44)^(L$4-'Funding inputs'!$B$80),0)</x:f>
        <x:v>136366425.13448367</x:v>
      </x:c>
      <x:c r="M10" s="78" t="n">
        <x:f>IF(M$4&gt;='Funding inputs'!$B$80,'Funding inputs'!$B$56*(1+'Funding inputs'!$B$44)^(M$4-'Funding inputs'!$B$80),0)</x:f>
        <x:v>142502914.2655354</x:v>
      </x:c>
      <x:c r="N10" s="78" t="n">
        <x:f>IF(N$4&gt;='Funding inputs'!$B$80,'Funding inputs'!$B$56*(1+'Funding inputs'!$B$44)^(N$4-'Funding inputs'!$B$80),0)</x:f>
        <x:v>148915545.4074845</x:v>
      </x:c>
      <x:c r="O10" s="78" t="n">
        <x:f>IF(O$4&gt;='Funding inputs'!$B$80,'Funding inputs'!$B$56*(1+'Funding inputs'!$B$44)^(O$4-'Funding inputs'!$B$80),0)</x:f>
        <x:v>155616744.95082128</x:v>
      </x:c>
      <x:c r="P10" s="78" t="n">
        <x:f>IF(P$4&gt;='Funding inputs'!$B$80,'Funding inputs'!$B$56*(1+'Funding inputs'!$B$44)^(P$4-'Funding inputs'!$B$80),0)</x:f>
        <x:v>162619498.47360823</x:v>
      </x:c>
      <x:c r="Q10" s="78" t="n">
        <x:f>IF(Q$4&gt;='Funding inputs'!$B$80,'Funding inputs'!$B$56*(1+'Funding inputs'!$B$44)^(Q$4-'Funding inputs'!$B$80),0)</x:f>
        <x:v>169937375.90492058</x:v>
      </x:c>
      <x:c r="R10" s="78" t="n">
        <x:f>IF(R$4&gt;='Funding inputs'!$B$80,'Funding inputs'!$B$56*(1+'Funding inputs'!$B$44)^(R$4-'Funding inputs'!$B$80),0)</x:f>
        <x:v>177584557.82064202</x:v>
      </x:c>
      <x:c r="S10" s="78" t="n">
        <x:f>IF(S$4&gt;='Funding inputs'!$B$80,'Funding inputs'!$B$56*(1+'Funding inputs'!$B$44)^(S$4-'Funding inputs'!$B$80),0)</x:f>
        <x:v>185575862.92257088</x:v>
      </x:c>
      <x:c r="T10" s="78" t="n">
        <x:f>IF(T$4&gt;='Funding inputs'!$B$80,'Funding inputs'!$B$56*(1+'Funding inputs'!$B$44)^(T$4-'Funding inputs'!$B$80),0)</x:f>
        <x:v>193926776.75408655</x:v>
      </x:c>
      <x:c r="U10" s="78" t="n">
        <x:f>IF(U$4&gt;='Funding inputs'!$B$80,'Funding inputs'!$B$56*(1+'Funding inputs'!$B$44)^(U$4-'Funding inputs'!$B$80),0)</x:f>
        <x:v>202653481.70802045</x:v>
      </x:c>
    </x:row>
    <x:row r="11" ht="25" customHeight="1">
      <x:c r="A11" s="56" t="str">
        <x:v>Proposed added operating receipts</x:v>
      </x:c>
      <x:c r="B11" s="91" t="n">
        <x:f>IF(B$4&gt;='Funding inputs'!$B$76,'Funding inputs'!$B$48*(1+'Funding inputs'!$B$44)^(B$4-'Funding inputs'!$B$15),0)</x:f>
        <x:v>0</x:v>
      </x:c>
      <x:c r="C11" s="91" t="n">
        <x:f>IF(C$4&gt;='Funding inputs'!$B$76,'Funding inputs'!$B$48*(1+'Funding inputs'!$B$44)^(C$4-'Funding inputs'!$B$15),0)</x:f>
        <x:v>0</x:v>
      </x:c>
      <x:c r="D11" s="91" t="n">
        <x:f>IF(D$4&gt;='Funding inputs'!$B$76,'Funding inputs'!$B$48*(1+'Funding inputs'!$B$44)^(D$4-'Funding inputs'!$B$15),0)</x:f>
        <x:v>24024549.999999996</x:v>
      </x:c>
      <x:c r="E11" s="91" t="n">
        <x:f>IF(E$4&gt;='Funding inputs'!$B$76,'Funding inputs'!$B$48*(1+'Funding inputs'!$B$44)^(E$4-'Funding inputs'!$B$15),0)</x:f>
        <x:v>25105654.749999996</x:v>
      </x:c>
      <x:c r="F11" s="91" t="n">
        <x:f>IF(F$4&gt;='Funding inputs'!$B$76,'Funding inputs'!$B$48*(1+'Funding inputs'!$B$44)^(F$4-'Funding inputs'!$B$15),0)</x:f>
        <x:v>26235409.213749994</x:v>
      </x:c>
      <x:c r="G11" s="91" t="n">
        <x:f>IF(G$4&gt;='Funding inputs'!$B$76,'Funding inputs'!$B$48*(1+'Funding inputs'!$B$44)^(G$4-'Funding inputs'!$B$15),0)</x:f>
        <x:v>27416002.628368743</x:v>
      </x:c>
      <x:c r="H11" s="91" t="n">
        <x:f>IF(H$4&gt;='Funding inputs'!$B$76,'Funding inputs'!$B$48*(1+'Funding inputs'!$B$44)^(H$4-'Funding inputs'!$B$15),0)</x:f>
        <x:v>28649722.746645335</x:v>
      </x:c>
      <x:c r="I11" s="91" t="n">
        <x:f>IF(I$4&gt;='Funding inputs'!$B$76,'Funding inputs'!$B$48*(1+'Funding inputs'!$B$44)^(I$4-'Funding inputs'!$B$15),0)</x:f>
        <x:v>29938960.27024437</x:v>
      </x:c>
      <x:c r="J11" s="91" t="n">
        <x:f>IF(J$4&gt;='Funding inputs'!$B$76,'Funding inputs'!$B$48*(1+'Funding inputs'!$B$44)^(J$4-'Funding inputs'!$B$15),0)</x:f>
        <x:v>31286213.48240536</x:v>
      </x:c>
      <x:c r="K11" s="91" t="n">
        <x:f>IF(K$4&gt;='Funding inputs'!$B$76,'Funding inputs'!$B$48*(1+'Funding inputs'!$B$44)^(K$4-'Funding inputs'!$B$15),0)</x:f>
        <x:v>32694093.0891136</x:v>
      </x:c>
      <x:c r="L11" s="91" t="n">
        <x:f>IF(L$4&gt;='Funding inputs'!$B$76,'Funding inputs'!$B$48*(1+'Funding inputs'!$B$44)^(L$4-'Funding inputs'!$B$15),0)</x:f>
        <x:v>34165327.278123714</x:v>
      </x:c>
      <x:c r="M11" s="91" t="n">
        <x:f>IF(M$4&gt;='Funding inputs'!$B$76,'Funding inputs'!$B$48*(1+'Funding inputs'!$B$44)^(M$4-'Funding inputs'!$B$15),0)</x:f>
        <x:v>35702767.00563928</x:v>
      </x:c>
      <x:c r="N11" s="91" t="n">
        <x:f>IF(N$4&gt;='Funding inputs'!$B$76,'Funding inputs'!$B$48*(1+'Funding inputs'!$B$44)^(N$4-'Funding inputs'!$B$15),0)</x:f>
        <x:v>37309391.520893045</x:v>
      </x:c>
      <x:c r="O11" s="91" t="n">
        <x:f>IF(O$4&gt;='Funding inputs'!$B$76,'Funding inputs'!$B$48*(1+'Funding inputs'!$B$44)^(O$4-'Funding inputs'!$B$15),0)</x:f>
        <x:v>38988314.139333226</x:v>
      </x:c>
      <x:c r="P11" s="91" t="n">
        <x:f>IF(P$4&gt;='Funding inputs'!$B$76,'Funding inputs'!$B$48*(1+'Funding inputs'!$B$44)^(P$4-'Funding inputs'!$B$15),0)</x:f>
        <x:v>40742788.27560322</x:v>
      </x:c>
      <x:c r="Q11" s="91" t="n">
        <x:f>IF(Q$4&gt;='Funding inputs'!$B$76,'Funding inputs'!$B$48*(1+'Funding inputs'!$B$44)^(Q$4-'Funding inputs'!$B$15),0)</x:f>
        <x:v>42576213.74800536</x:v>
      </x:c>
      <x:c r="R11" s="91" t="n">
        <x:f>IF(R$4&gt;='Funding inputs'!$B$76,'Funding inputs'!$B$48*(1+'Funding inputs'!$B$44)^(R$4-'Funding inputs'!$B$15),0)</x:f>
        <x:v>44492143.3666656</x:v>
      </x:c>
      <x:c r="S11" s="91" t="n">
        <x:f>IF(S$4&gt;='Funding inputs'!$B$76,'Funding inputs'!$B$48*(1+'Funding inputs'!$B$44)^(S$4-'Funding inputs'!$B$15),0)</x:f>
        <x:v>46494289.81816555</x:v>
      </x:c>
      <x:c r="T11" s="91" t="n">
        <x:f>IF(T$4&gt;='Funding inputs'!$B$76,'Funding inputs'!$B$48*(1+'Funding inputs'!$B$44)^(T$4-'Funding inputs'!$B$15),0)</x:f>
        <x:v>48586532.85998299</x:v>
      </x:c>
      <x:c r="U11" s="91" t="n">
        <x:f>IF(U$4&gt;='Funding inputs'!$B$76,'Funding inputs'!$B$48*(1+'Funding inputs'!$B$44)^(U$4-'Funding inputs'!$B$15),0)</x:f>
        <x:v>50772926.83868223</x:v>
      </x:c>
    </x:row>
    <x:row r="12" ht="25" customHeight="1">
      <x:c r="A12" s="55" t="str">
        <x:v>Additional net earned operating receipts</x:v>
      </x:c>
      <x:c r="B12" s="78" t="n">
        <x:f>IF(B$4&gt;='Funding inputs'!$B$76,'Funding inputs'!$B$27*(1+'Funding inputs'!$B$44)^(B$4-'Funding inputs'!$B$15),0)</x:f>
        <x:v>0</x:v>
      </x:c>
      <x:c r="C12" s="78" t="n">
        <x:f>IF(C$4&gt;='Funding inputs'!$B$76,'Funding inputs'!$B$27*(1+'Funding inputs'!$B$44)^(C$4-'Funding inputs'!$B$15),0)</x:f>
        <x:v>0</x:v>
      </x:c>
      <x:c r="D12" s="78" t="n">
        <x:f>IF(D$4&gt;='Funding inputs'!$B$76,'Funding inputs'!$B$27*(1+'Funding inputs'!$B$44)^(D$4-'Funding inputs'!$B$15),0)</x:f>
        <x:v>0</x:v>
      </x:c>
      <x:c r="E12" s="78" t="n">
        <x:f>IF(E$4&gt;='Funding inputs'!$B$76,'Funding inputs'!$B$27*(1+'Funding inputs'!$B$44)^(E$4-'Funding inputs'!$B$15),0)</x:f>
        <x:v>0</x:v>
      </x:c>
      <x:c r="F12" s="78" t="n">
        <x:f>IF(F$4&gt;='Funding inputs'!$B$76,'Funding inputs'!$B$27*(1+'Funding inputs'!$B$44)^(F$4-'Funding inputs'!$B$15),0)</x:f>
        <x:v>0</x:v>
      </x:c>
      <x:c r="G12" s="78" t="n">
        <x:f>IF(G$4&gt;='Funding inputs'!$B$76,'Funding inputs'!$B$27*(1+'Funding inputs'!$B$44)^(G$4-'Funding inputs'!$B$15),0)</x:f>
        <x:v>0</x:v>
      </x:c>
      <x:c r="H12" s="78" t="n">
        <x:f>IF(H$4&gt;='Funding inputs'!$B$76,'Funding inputs'!$B$27*(1+'Funding inputs'!$B$44)^(H$4-'Funding inputs'!$B$15),0)</x:f>
        <x:v>0</x:v>
      </x:c>
      <x:c r="I12" s="78" t="n">
        <x:f>IF(I$4&gt;='Funding inputs'!$B$76,'Funding inputs'!$B$27*(1+'Funding inputs'!$B$44)^(I$4-'Funding inputs'!$B$15),0)</x:f>
        <x:v>0</x:v>
      </x:c>
      <x:c r="J12" s="78" t="n">
        <x:f>IF(J$4&gt;='Funding inputs'!$B$76,'Funding inputs'!$B$27*(1+'Funding inputs'!$B$44)^(J$4-'Funding inputs'!$B$15),0)</x:f>
        <x:v>0</x:v>
      </x:c>
      <x:c r="K12" s="78" t="n">
        <x:f>IF(K$4&gt;='Funding inputs'!$B$76,'Funding inputs'!$B$27*(1+'Funding inputs'!$B$44)^(K$4-'Funding inputs'!$B$15),0)</x:f>
        <x:v>0</x:v>
      </x:c>
      <x:c r="L12" s="78" t="n">
        <x:f>IF(L$4&gt;='Funding inputs'!$B$76,'Funding inputs'!$B$27*(1+'Funding inputs'!$B$44)^(L$4-'Funding inputs'!$B$15),0)</x:f>
        <x:v>0</x:v>
      </x:c>
      <x:c r="M12" s="78" t="n">
        <x:f>IF(M$4&gt;='Funding inputs'!$B$76,'Funding inputs'!$B$27*(1+'Funding inputs'!$B$44)^(M$4-'Funding inputs'!$B$15),0)</x:f>
        <x:v>0</x:v>
      </x:c>
      <x:c r="N12" s="78" t="n">
        <x:f>IF(N$4&gt;='Funding inputs'!$B$76,'Funding inputs'!$B$27*(1+'Funding inputs'!$B$44)^(N$4-'Funding inputs'!$B$15),0)</x:f>
        <x:v>0</x:v>
      </x:c>
      <x:c r="O12" s="78" t="n">
        <x:f>IF(O$4&gt;='Funding inputs'!$B$76,'Funding inputs'!$B$27*(1+'Funding inputs'!$B$44)^(O$4-'Funding inputs'!$B$15),0)</x:f>
        <x:v>0</x:v>
      </x:c>
      <x:c r="P12" s="78" t="n">
        <x:f>IF(P$4&gt;='Funding inputs'!$B$76,'Funding inputs'!$B$27*(1+'Funding inputs'!$B$44)^(P$4-'Funding inputs'!$B$15),0)</x:f>
        <x:v>0</x:v>
      </x:c>
      <x:c r="Q12" s="78" t="n">
        <x:f>IF(Q$4&gt;='Funding inputs'!$B$76,'Funding inputs'!$B$27*(1+'Funding inputs'!$B$44)^(Q$4-'Funding inputs'!$B$15),0)</x:f>
        <x:v>0</x:v>
      </x:c>
      <x:c r="R12" s="78" t="n">
        <x:f>IF(R$4&gt;='Funding inputs'!$B$76,'Funding inputs'!$B$27*(1+'Funding inputs'!$B$44)^(R$4-'Funding inputs'!$B$15),0)</x:f>
        <x:v>0</x:v>
      </x:c>
      <x:c r="S12" s="78" t="n">
        <x:f>IF(S$4&gt;='Funding inputs'!$B$76,'Funding inputs'!$B$27*(1+'Funding inputs'!$B$44)^(S$4-'Funding inputs'!$B$15),0)</x:f>
        <x:v>0</x:v>
      </x:c>
      <x:c r="T12" s="78" t="n">
        <x:f>IF(T$4&gt;='Funding inputs'!$B$76,'Funding inputs'!$B$27*(1+'Funding inputs'!$B$44)^(T$4-'Funding inputs'!$B$15),0)</x:f>
        <x:v>0</x:v>
      </x:c>
      <x:c r="U12" s="78" t="n">
        <x:f>IF(U$4&gt;='Funding inputs'!$B$76,'Funding inputs'!$B$27*(1+'Funding inputs'!$B$44)^(U$4-'Funding inputs'!$B$15),0)</x:f>
        <x:v>0</x:v>
      </x:c>
    </x:row>
    <x:row r="13" ht="25" customHeight="1">
      <x:c r="A13" s="103" t="str">
        <x:v>Existing + proposed operating resources</x:v>
      </x:c>
      <x:c r="B13" s="104" t="n">
        <x:f>SUM(B9:B12)</x:f>
        <x:v>79827378.22142857</x:v>
      </x:c>
      <x:c r="C13" s="104" t="n">
        <x:f>SUM(C9:C12)</x:f>
        <x:v>82222199.56807144</x:v>
      </x:c>
      <x:c r="D13" s="104" t="n">
        <x:f>SUM(D9:D12)</x:f>
        <x:v>108713415.55511357</x:v>
      </x:c>
      <x:c r="E13" s="104" t="n">
        <x:f>SUM(E9:E12)</x:f>
        <x:v>112335186.27176698</x:v>
      </x:c>
      <x:c r="F13" s="104" t="n">
        <x:f>SUM(F9:F12)</x:f>
        <x:v>116081826.68116999</x:v>
      </x:c>
      <x:c r="G13" s="104" t="n">
        <x:f>SUM(G9:G12)</x:f>
        <x:v>136843383.18509233</x:v>
      </x:c>
      <x:c r="H13" s="104" t="n">
        <x:f>SUM(H9:H12)</x:f>
        <x:v>143001335.4284215</x:v>
      </x:c>
      <x:c r="I13" s="104" t="n">
        <x:f>SUM(I9:I12)</x:f>
        <x:v>149436395.52270043</x:v>
      </x:c>
      <x:c r="J13" s="104" t="n">
        <x:f>SUM(J9:J12)</x:f>
        <x:v>156161033.32122195</x:v>
      </x:c>
      <x:c r="K13" s="104" t="n">
        <x:f>SUM(K9:K12)</x:f>
        <x:v>163188279.82067692</x:v>
      </x:c>
      <x:c r="L13" s="104" t="n">
        <x:f>SUM(L9:L12)</x:f>
        <x:v>170531752.41260737</x:v>
      </x:c>
      <x:c r="M13" s="104" t="n">
        <x:f>SUM(M9:M12)</x:f>
        <x:v>178205681.2711747</x:v>
      </x:c>
      <x:c r="N13" s="104" t="n">
        <x:f>SUM(N9:N12)</x:f>
        <x:v>186224936.92837754</x:v>
      </x:c>
      <x:c r="O13" s="104" t="n">
        <x:f>SUM(O9:O12)</x:f>
        <x:v>194605059.0901545</x:v>
      </x:c>
      <x:c r="P13" s="104" t="n">
        <x:f>SUM(P9:P12)</x:f>
        <x:v>203362286.74921143</x:v>
      </x:c>
      <x:c r="Q13" s="104" t="n">
        <x:f>SUM(Q9:Q12)</x:f>
        <x:v>212513589.65292594</x:v>
      </x:c>
      <x:c r="R13" s="104" t="n">
        <x:f>SUM(R9:R12)</x:f>
        <x:v>222076701.18730763</x:v>
      </x:c>
      <x:c r="S13" s="104" t="n">
        <x:f>SUM(S9:S12)</x:f>
        <x:v>232070152.74073642</x:v>
      </x:c>
      <x:c r="T13" s="104" t="n">
        <x:f>SUM(T9:T12)</x:f>
        <x:v>242513309.61406955</x:v>
      </x:c>
      <x:c r="U13" s="104" t="n">
        <x:f>SUM(U9:U12)</x:f>
        <x:v>253426408.54670268</x:v>
      </x:c>
    </x:row>
    <x:row r="14" ht="25" customHeight="1">
      <x:c r="A14" s="107" t="str">
        <x:v>Operating shortfall / (surplus)</x:v>
      </x:c>
      <x:c r="B14" s="108" t="n">
        <x:f>B8-B13</x:f>
        <x:v>0</x:v>
      </x:c>
      <x:c r="C14" s="108" t="n">
        <x:f>C8-C13</x:f>
        <x:v>1197410.673321411</x:v>
      </x:c>
      <x:c r="D14" s="108" t="n">
        <x:f>D8-D13</x:f>
        <x:v>-3098879.20545806</x:v>
      </x:c>
      <x:c r="E14" s="108" t="n">
        <x:f>E8-E13</x:f>
        <x:v>-1967995.7863769531</x:v>
      </x:c>
      <x:c r="F14" s="108" t="n">
        <x:f>F8-F13</x:f>
        <x:v>-748112.623937428</x:v>
      </x:c>
      <x:c r="G14" s="108" t="n">
        <x:f>G8-G13</x:f>
        <x:v>-16319651.995284304</x:v>
      </x:c>
      <x:c r="H14" s="108" t="n">
        <x:f>H8-H13</x:f>
        <x:v>-17054036.335072115</x:v>
      </x:c>
      <x:c r="I14" s="108" t="n">
        <x:f>I8-I13</x:f>
        <x:v>-17821467.97015035</x:v>
      </x:c>
      <x:c r="J14" s="108" t="n">
        <x:f>J8-J13</x:f>
        <x:v>-18623434.028807133</x:v>
      </x:c>
      <x:c r="K14" s="108" t="n">
        <x:f>K8-K13</x:f>
        <x:v>-19461488.560103446</x:v>
      </x:c>
      <x:c r="L14" s="108" t="n">
        <x:f>L8-L13</x:f>
        <x:v>-20337255.545308113</x:v>
      </x:c>
      <x:c r="M14" s="108" t="n">
        <x:f>M8-M13</x:f>
        <x:v>-21252432.044846952</x:v>
      </x:c>
      <x:c r="N14" s="108" t="n">
        <x:f>N8-N13</x:f>
        <x:v>-22208791.486865073</x:v>
      </x:c>
      <x:c r="O14" s="108" t="n">
        <x:f>O8-O13</x:f>
        <x:v>-23208187.10377398</x:v>
      </x:c>
      <x:c r="P14" s="108" t="n">
        <x:f>P8-P13</x:f>
        <x:v>-24252555.52344379</x:v>
      </x:c>
      <x:c r="Q14" s="108" t="n">
        <x:f>Q8-Q13</x:f>
        <x:v>-25343920.521998793</x:v>
      </x:c>
      <x:c r="R14" s="108" t="n">
        <x:f>R8-R13</x:f>
        <x:v>-26484396.94548875</x:v>
      </x:c>
      <x:c r="S14" s="108" t="n">
        <x:f>S8-S13</x:f>
        <x:v>-27676194.80803573</x:v>
      </x:c>
      <x:c r="T14" s="108" t="n">
        <x:f>T8-T13</x:f>
        <x:v>-28921623.574397326</x:v>
      </x:c>
      <x:c r="U14" s="108" t="n">
        <x:f>U8-U13</x:f>
        <x:v>-30223096.635245234</x:v>
      </x:c>
    </x:row>
    <x:row r="15" ht="25" customHeight="1">
      <x:c r="A15" s="56"/>
      <x:c r="B15" s="70"/>
      <x:c r="C15" s="70"/>
      <x:c r="D15" s="70"/>
      <x:c r="E15" s="70"/>
      <x:c r="F15" s="70"/>
      <x:c r="G15" s="70"/>
      <x:c r="H15" s="70"/>
      <x:c r="I15" s="70"/>
      <x:c r="J15" s="70"/>
      <x:c r="K15" s="70"/>
      <x:c r="L15" s="70"/>
      <x:c r="M15" s="70"/>
      <x:c r="N15" s="70"/>
      <x:c r="O15" s="70"/>
      <x:c r="P15" s="70"/>
      <x:c r="Q15" s="70"/>
      <x:c r="R15" s="70"/>
      <x:c r="S15" s="70"/>
      <x:c r="T15" s="70"/>
      <x:c r="U15" s="70"/>
    </x:row>
    <x:row r="16" ht="25" customHeight="1">
      <x:c r="A16" s="103" t="str">
        <x:v>Annual asset renewal requirement</x:v>
      </x:c>
      <x:c r="B16" s="110" t="n">
        <x:f>Capital!$D$13*(1+'Funding inputs'!$B$64)^(B$4-'Funding inputs'!$B$15)</x:f>
        <x:v>67367456.00000001</x:v>
      </x:c>
      <x:c r="C16" s="110" t="n">
        <x:f>Capital!$D$13*(1+'Funding inputs'!$B$64)^(C$4-'Funding inputs'!$B$15)</x:f>
        <x:v>69388479.68000002</x:v>
      </x:c>
      <x:c r="D16" s="110" t="n">
        <x:f>Capital!$D$13*(1+'Funding inputs'!$B$64)^(D$4-'Funding inputs'!$B$15)</x:f>
        <x:v>71470134.07040001</x:v>
      </x:c>
      <x:c r="E16" s="110" t="n">
        <x:f>Capital!$D$13*(1+'Funding inputs'!$B$64)^(E$4-'Funding inputs'!$B$15)</x:f>
        <x:v>73614238.09251201</x:v>
      </x:c>
      <x:c r="F16" s="110" t="n">
        <x:f>Capital!$D$13*(1+'Funding inputs'!$B$64)^(F$4-'Funding inputs'!$B$15)</x:f>
        <x:v>75822665.23528738</x:v>
      </x:c>
      <x:c r="G16" s="110" t="n">
        <x:f>Capital!$D$13*(1+'Funding inputs'!$B$64)^(G$4-'Funding inputs'!$B$15)</x:f>
        <x:v>78097345.192346</x:v>
      </x:c>
      <x:c r="H16" s="110" t="n">
        <x:f>Capital!$D$13*(1+'Funding inputs'!$B$64)^(H$4-'Funding inputs'!$B$15)</x:f>
        <x:v>80440265.54811639</x:v>
      </x:c>
      <x:c r="I16" s="110" t="n">
        <x:f>Capital!$D$13*(1+'Funding inputs'!$B$64)^(I$4-'Funding inputs'!$B$15)</x:f>
        <x:v>82853473.51455988</x:v>
      </x:c>
      <x:c r="J16" s="110" t="n">
        <x:f>Capital!$D$13*(1+'Funding inputs'!$B$64)^(J$4-'Funding inputs'!$B$15)</x:f>
        <x:v>85339077.71999669</x:v>
      </x:c>
      <x:c r="K16" s="110" t="n">
        <x:f>Capital!$D$13*(1+'Funding inputs'!$B$64)^(K$4-'Funding inputs'!$B$15)</x:f>
        <x:v>87899250.05159658</x:v>
      </x:c>
      <x:c r="L16" s="110" t="n">
        <x:f>Capital!$D$13*(1+'Funding inputs'!$B$64)^(L$4-'Funding inputs'!$B$15)</x:f>
        <x:v>90536227.55314448</x:v>
      </x:c>
      <x:c r="M16" s="110" t="n">
        <x:f>Capital!$D$13*(1+'Funding inputs'!$B$64)^(M$4-'Funding inputs'!$B$15)</x:f>
        <x:v>93252314.37973882</x:v>
      </x:c>
      <x:c r="N16" s="110" t="n">
        <x:f>Capital!$D$13*(1+'Funding inputs'!$B$64)^(N$4-'Funding inputs'!$B$15)</x:f>
        <x:v>96049883.81113099</x:v>
      </x:c>
      <x:c r="O16" s="110" t="n">
        <x:f>Capital!$D$13*(1+'Funding inputs'!$B$64)^(O$4-'Funding inputs'!$B$15)</x:f>
        <x:v>98931380.32546492</x:v>
      </x:c>
      <x:c r="P16" s="110" t="n">
        <x:f>Capital!$D$13*(1+'Funding inputs'!$B$64)^(P$4-'Funding inputs'!$B$15)</x:f>
        <x:v>101899321.73522888</x:v>
      </x:c>
      <x:c r="Q16" s="110" t="n">
        <x:f>Capital!$D$13*(1+'Funding inputs'!$B$64)^(Q$4-'Funding inputs'!$B$15)</x:f>
        <x:v>104956301.38728574</x:v>
      </x:c>
      <x:c r="R16" s="110" t="n">
        <x:f>Capital!$D$13*(1+'Funding inputs'!$B$64)^(R$4-'Funding inputs'!$B$15)</x:f>
        <x:v>108104990.42890431</x:v>
      </x:c>
      <x:c r="S16" s="110" t="n">
        <x:f>Capital!$D$13*(1+'Funding inputs'!$B$64)^(S$4-'Funding inputs'!$B$15)</x:f>
        <x:v>111348140.14177145</x:v>
      </x:c>
      <x:c r="T16" s="110" t="n">
        <x:f>Capital!$D$13*(1+'Funding inputs'!$B$64)^(T$4-'Funding inputs'!$B$15)</x:f>
        <x:v>114688584.3460246</x:v>
      </x:c>
      <x:c r="U16" s="110" t="n">
        <x:f>Capital!$D$13*(1+'Funding inputs'!$B$64)^(U$4-'Funding inputs'!$B$15)</x:f>
        <x:v>118129241.87640533</x:v>
      </x:c>
    </x:row>
    <x:row r="17" ht="25" customHeight="1">
      <x:c r="A17" s="56" t="str">
        <x:v>Existing GF capital benchmark</x:v>
      </x:c>
      <x:c r="B17" s="91" t="n">
        <x:f>'Funding inputs'!$B$14*(1+'Funding inputs'!$B$22)^(B$4-'Funding inputs'!$B$15)</x:f>
        <x:v>5000000</x:v>
      </x:c>
      <x:c r="C17" s="91" t="n">
        <x:f>'Funding inputs'!$B$14*(1+'Funding inputs'!$B$22)^(C$4-'Funding inputs'!$B$15)</x:f>
        <x:v>5150000</x:v>
      </x:c>
      <x:c r="D17" s="91" t="n">
        <x:f>'Funding inputs'!$B$14*(1+'Funding inputs'!$B$22)^(D$4-'Funding inputs'!$B$15)</x:f>
        <x:v>5304500</x:v>
      </x:c>
      <x:c r="E17" s="91" t="n">
        <x:f>'Funding inputs'!$B$14*(1+'Funding inputs'!$B$22)^(E$4-'Funding inputs'!$B$15)</x:f>
        <x:v>5463635</x:v>
      </x:c>
      <x:c r="F17" s="91" t="n">
        <x:f>'Funding inputs'!$B$14*(1+'Funding inputs'!$B$22)^(F$4-'Funding inputs'!$B$15)</x:f>
        <x:v>5627544.050000001</x:v>
      </x:c>
      <x:c r="G17" s="91" t="n">
        <x:f>'Funding inputs'!$B$14*(1+'Funding inputs'!$B$22)^(G$4-'Funding inputs'!$B$15)</x:f>
        <x:v>5796370.3715</x:v>
      </x:c>
      <x:c r="H17" s="91" t="n">
        <x:f>'Funding inputs'!$B$14*(1+'Funding inputs'!$B$22)^(H$4-'Funding inputs'!$B$15)</x:f>
        <x:v>5970261.482645</x:v>
      </x:c>
      <x:c r="I17" s="91" t="n">
        <x:f>'Funding inputs'!$B$14*(1+'Funding inputs'!$B$22)^(I$4-'Funding inputs'!$B$15)</x:f>
        <x:v>6149369.327124351</x:v>
      </x:c>
      <x:c r="J17" s="91" t="n">
        <x:f>'Funding inputs'!$B$14*(1+'Funding inputs'!$B$22)^(J$4-'Funding inputs'!$B$15)</x:f>
        <x:v>6333850.406938082</x:v>
      </x:c>
      <x:c r="K17" s="91" t="n">
        <x:f>'Funding inputs'!$B$14*(1+'Funding inputs'!$B$22)^(K$4-'Funding inputs'!$B$15)</x:f>
        <x:v>6523865.919146225</x:v>
      </x:c>
      <x:c r="L17" s="91" t="n">
        <x:f>'Funding inputs'!$B$14*(1+'Funding inputs'!$B$22)^(L$4-'Funding inputs'!$B$15)</x:f>
        <x:v>6719581.8967206115</x:v>
      </x:c>
      <x:c r="M17" s="91" t="n">
        <x:f>'Funding inputs'!$B$14*(1+'Funding inputs'!$B$22)^(M$4-'Funding inputs'!$B$15)</x:f>
        <x:v>6921169.35362223</x:v>
      </x:c>
      <x:c r="N17" s="91" t="n">
        <x:f>'Funding inputs'!$B$14*(1+'Funding inputs'!$B$22)^(N$4-'Funding inputs'!$B$15)</x:f>
        <x:v>7128804.434230897</x:v>
      </x:c>
      <x:c r="O17" s="91" t="n">
        <x:f>'Funding inputs'!$B$14*(1+'Funding inputs'!$B$22)^(O$4-'Funding inputs'!$B$15)</x:f>
        <x:v>7342668.567257824</x:v>
      </x:c>
      <x:c r="P17" s="91" t="n">
        <x:f>'Funding inputs'!$B$14*(1+'Funding inputs'!$B$22)^(P$4-'Funding inputs'!$B$15)</x:f>
        <x:v>7562948.62427556</x:v>
      </x:c>
      <x:c r="Q17" s="91" t="n">
        <x:f>'Funding inputs'!$B$14*(1+'Funding inputs'!$B$22)^(Q$4-'Funding inputs'!$B$15)</x:f>
        <x:v>7789837.0830038255</x:v>
      </x:c>
      <x:c r="R17" s="91" t="n">
        <x:f>'Funding inputs'!$B$14*(1+'Funding inputs'!$B$22)^(R$4-'Funding inputs'!$B$15)</x:f>
        <x:v>8023532.195493941</x:v>
      </x:c>
      <x:c r="S17" s="91" t="n">
        <x:f>'Funding inputs'!$B$14*(1+'Funding inputs'!$B$22)^(S$4-'Funding inputs'!$B$15)</x:f>
        <x:v>8264238.161358759</x:v>
      </x:c>
      <x:c r="T17" s="91" t="n">
        <x:f>'Funding inputs'!$B$14*(1+'Funding inputs'!$B$22)^(T$4-'Funding inputs'!$B$15)</x:f>
        <x:v>8512165.306199523</x:v>
      </x:c>
      <x:c r="U17" s="91" t="n">
        <x:f>'Funding inputs'!$B$14*(1+'Funding inputs'!$B$22)^(U$4-'Funding inputs'!$B$15)</x:f>
        <x:v>8767530.265385509</x:v>
      </x:c>
    </x:row>
    <x:row r="18" ht="25" customHeight="1">
      <x:c r="A18" s="55" t="str">
        <x:v>Current levy: capital receipts</x:v>
      </x:c>
      <x:c r="B18" s="78" t="n">
        <x:f>IF(B$4&lt;'Funding inputs'!$B$16,'Funding inputs'!$B$10*(1-'Funding inputs'!$B$11/'Funding inputs'!$B$12)*(1+'Funding inputs'!$B$22)^(B$4-'Funding inputs'!$B$15),0)</x:f>
        <x:v>1748044.7785714134</x:v>
      </x:c>
      <x:c r="C18" s="78" t="n">
        <x:f>IF(C$4&lt;'Funding inputs'!$B$16,'Funding inputs'!$B$10*(1-'Funding inputs'!$B$11/'Funding inputs'!$B$12)*(1+'Funding inputs'!$B$22)^(C$4-'Funding inputs'!$B$15),0)</x:f>
        <x:v>1800486.121928556</x:v>
      </x:c>
      <x:c r="D18" s="78" t="n">
        <x:f>IF(D$4&lt;'Funding inputs'!$B$16,'Funding inputs'!$B$10*(1-'Funding inputs'!$B$11/'Funding inputs'!$B$12)*(1+'Funding inputs'!$B$22)^(D$4-'Funding inputs'!$B$15),0)</x:f>
        <x:v>1854500.7055864125</x:v>
      </x:c>
      <x:c r="E18" s="78" t="n">
        <x:f>IF(E$4&lt;'Funding inputs'!$B$16,'Funding inputs'!$B$10*(1-'Funding inputs'!$B$11/'Funding inputs'!$B$12)*(1+'Funding inputs'!$B$22)^(E$4-'Funding inputs'!$B$15),0)</x:f>
        <x:v>1910135.7267540048</x:v>
      </x:c>
      <x:c r="F18" s="78" t="n">
        <x:f>IF(F$4&lt;'Funding inputs'!$B$16,'Funding inputs'!$B$10*(1-'Funding inputs'!$B$11/'Funding inputs'!$B$12)*(1+'Funding inputs'!$B$22)^(F$4-'Funding inputs'!$B$15),0)</x:f>
        <x:v>1967439.7985566251</x:v>
      </x:c>
      <x:c r="G18" s="78" t="n">
        <x:f>IF(G$4&lt;'Funding inputs'!$B$16,'Funding inputs'!$B$10*(1-'Funding inputs'!$B$11/'Funding inputs'!$B$12)*(1+'Funding inputs'!$B$22)^(G$4-'Funding inputs'!$B$15),0)</x:f>
        <x:v>0</x:v>
      </x:c>
      <x:c r="H18" s="78" t="n">
        <x:f>IF(H$4&lt;'Funding inputs'!$B$16,'Funding inputs'!$B$10*(1-'Funding inputs'!$B$11/'Funding inputs'!$B$12)*(1+'Funding inputs'!$B$22)^(H$4-'Funding inputs'!$B$15),0)</x:f>
        <x:v>0</x:v>
      </x:c>
      <x:c r="I18" s="78" t="n">
        <x:f>IF(I$4&lt;'Funding inputs'!$B$16,'Funding inputs'!$B$10*(1-'Funding inputs'!$B$11/'Funding inputs'!$B$12)*(1+'Funding inputs'!$B$22)^(I$4-'Funding inputs'!$B$15),0)</x:f>
        <x:v>0</x:v>
      </x:c>
      <x:c r="J18" s="78" t="n">
        <x:f>IF(J$4&lt;'Funding inputs'!$B$16,'Funding inputs'!$B$10*(1-'Funding inputs'!$B$11/'Funding inputs'!$B$12)*(1+'Funding inputs'!$B$22)^(J$4-'Funding inputs'!$B$15),0)</x:f>
        <x:v>0</x:v>
      </x:c>
      <x:c r="K18" s="78" t="n">
        <x:f>IF(K$4&lt;'Funding inputs'!$B$16,'Funding inputs'!$B$10*(1-'Funding inputs'!$B$11/'Funding inputs'!$B$12)*(1+'Funding inputs'!$B$22)^(K$4-'Funding inputs'!$B$15),0)</x:f>
        <x:v>0</x:v>
      </x:c>
      <x:c r="L18" s="78" t="n">
        <x:f>IF(L$4&lt;'Funding inputs'!$B$16,'Funding inputs'!$B$10*(1-'Funding inputs'!$B$11/'Funding inputs'!$B$12)*(1+'Funding inputs'!$B$22)^(L$4-'Funding inputs'!$B$15),0)</x:f>
        <x:v>0</x:v>
      </x:c>
      <x:c r="M18" s="78" t="n">
        <x:f>IF(M$4&lt;'Funding inputs'!$B$16,'Funding inputs'!$B$10*(1-'Funding inputs'!$B$11/'Funding inputs'!$B$12)*(1+'Funding inputs'!$B$22)^(M$4-'Funding inputs'!$B$15),0)</x:f>
        <x:v>0</x:v>
      </x:c>
      <x:c r="N18" s="78" t="n">
        <x:f>IF(N$4&lt;'Funding inputs'!$B$16,'Funding inputs'!$B$10*(1-'Funding inputs'!$B$11/'Funding inputs'!$B$12)*(1+'Funding inputs'!$B$22)^(N$4-'Funding inputs'!$B$15),0)</x:f>
        <x:v>0</x:v>
      </x:c>
      <x:c r="O18" s="78" t="n">
        <x:f>IF(O$4&lt;'Funding inputs'!$B$16,'Funding inputs'!$B$10*(1-'Funding inputs'!$B$11/'Funding inputs'!$B$12)*(1+'Funding inputs'!$B$22)^(O$4-'Funding inputs'!$B$15),0)</x:f>
        <x:v>0</x:v>
      </x:c>
      <x:c r="P18" s="78" t="n">
        <x:f>IF(P$4&lt;'Funding inputs'!$B$16,'Funding inputs'!$B$10*(1-'Funding inputs'!$B$11/'Funding inputs'!$B$12)*(1+'Funding inputs'!$B$22)^(P$4-'Funding inputs'!$B$15),0)</x:f>
        <x:v>0</x:v>
      </x:c>
      <x:c r="Q18" s="78" t="n">
        <x:f>IF(Q$4&lt;'Funding inputs'!$B$16,'Funding inputs'!$B$10*(1-'Funding inputs'!$B$11/'Funding inputs'!$B$12)*(1+'Funding inputs'!$B$22)^(Q$4-'Funding inputs'!$B$15),0)</x:f>
        <x:v>0</x:v>
      </x:c>
      <x:c r="R18" s="78" t="n">
        <x:f>IF(R$4&lt;'Funding inputs'!$B$16,'Funding inputs'!$B$10*(1-'Funding inputs'!$B$11/'Funding inputs'!$B$12)*(1+'Funding inputs'!$B$22)^(R$4-'Funding inputs'!$B$15),0)</x:f>
        <x:v>0</x:v>
      </x:c>
      <x:c r="S18" s="78" t="n">
        <x:f>IF(S$4&lt;'Funding inputs'!$B$16,'Funding inputs'!$B$10*(1-'Funding inputs'!$B$11/'Funding inputs'!$B$12)*(1+'Funding inputs'!$B$22)^(S$4-'Funding inputs'!$B$15),0)</x:f>
        <x:v>0</x:v>
      </x:c>
      <x:c r="T18" s="78" t="n">
        <x:f>IF(T$4&lt;'Funding inputs'!$B$16,'Funding inputs'!$B$10*(1-'Funding inputs'!$B$11/'Funding inputs'!$B$12)*(1+'Funding inputs'!$B$22)^(T$4-'Funding inputs'!$B$15),0)</x:f>
        <x:v>0</x:v>
      </x:c>
      <x:c r="U18" s="78" t="n">
        <x:f>IF(U$4&lt;'Funding inputs'!$B$16,'Funding inputs'!$B$10*(1-'Funding inputs'!$B$11/'Funding inputs'!$B$12)*(1+'Funding inputs'!$B$22)^(U$4-'Funding inputs'!$B$15),0)</x:f>
        <x:v>0</x:v>
      </x:c>
    </x:row>
    <x:row r="19" ht="25" customHeight="1">
      <x:c r="A19" s="56" t="str">
        <x:v>Proposed new annual renewal receipts</x:v>
      </x:c>
      <x:c r="B19" s="91" t="n">
        <x:f>IF(B$4&gt;='Funding inputs'!$B$76,'Funding inputs'!$B$52*(1+'Funding inputs'!$B$68)^(B$4-'Funding inputs'!$B$15),0)</x:f>
        <x:v>0</x:v>
      </x:c>
      <x:c r="C19" s="91" t="n">
        <x:f>IF(C$4&gt;='Funding inputs'!$B$76,'Funding inputs'!$B$52*(1+'Funding inputs'!$B$68)^(C$4-'Funding inputs'!$B$15),0)</x:f>
        <x:v>0</x:v>
      </x:c>
      <x:c r="D19" s="91" t="n">
        <x:f>IF(D$4&gt;='Funding inputs'!$B$76,'Funding inputs'!$B$52*(1+'Funding inputs'!$B$68)^(D$4-'Funding inputs'!$B$15),0)</x:f>
        <x:v>66836700</x:v>
      </x:c>
      <x:c r="E19" s="91" t="n">
        <x:f>IF(E$4&gt;='Funding inputs'!$B$76,'Funding inputs'!$B$52*(1+'Funding inputs'!$B$68)^(E$4-'Funding inputs'!$B$15),0)</x:f>
        <x:v>68841801</x:v>
      </x:c>
      <x:c r="F19" s="91" t="n">
        <x:f>IF(F$4&gt;='Funding inputs'!$B$76,'Funding inputs'!$B$52*(1+'Funding inputs'!$B$68)^(F$4-'Funding inputs'!$B$15),0)</x:f>
        <x:v>70907055.03000002</x:v>
      </x:c>
      <x:c r="G19" s="91" t="n">
        <x:f>IF(G$4&gt;='Funding inputs'!$B$76,'Funding inputs'!$B$52*(1+'Funding inputs'!$B$68)^(G$4-'Funding inputs'!$B$15),0)</x:f>
        <x:v>73034266.68090001</x:v>
      </x:c>
      <x:c r="H19" s="91" t="n">
        <x:f>IF(H$4&gt;='Funding inputs'!$B$76,'Funding inputs'!$B$52*(1+'Funding inputs'!$B$68)^(H$4-'Funding inputs'!$B$15),0)</x:f>
        <x:v>75225294.68132702</x:v>
      </x:c>
      <x:c r="I19" s="91" t="n">
        <x:f>IF(I$4&gt;='Funding inputs'!$B$76,'Funding inputs'!$B$52*(1+'Funding inputs'!$B$68)^(I$4-'Funding inputs'!$B$15),0)</x:f>
        <x:v>77482053.52176683</x:v>
      </x:c>
      <x:c r="J19" s="91" t="n">
        <x:f>IF(J$4&gt;='Funding inputs'!$B$76,'Funding inputs'!$B$52*(1+'Funding inputs'!$B$68)^(J$4-'Funding inputs'!$B$15),0)</x:f>
        <x:v>79806515.12741983</x:v>
      </x:c>
      <x:c r="K19" s="91" t="n">
        <x:f>IF(K$4&gt;='Funding inputs'!$B$76,'Funding inputs'!$B$52*(1+'Funding inputs'!$B$68)^(K$4-'Funding inputs'!$B$15),0)</x:f>
        <x:v>82200710.58124243</x:v>
      </x:c>
      <x:c r="L19" s="91" t="n">
        <x:f>IF(L$4&gt;='Funding inputs'!$B$76,'Funding inputs'!$B$52*(1+'Funding inputs'!$B$68)^(L$4-'Funding inputs'!$B$15),0)</x:f>
        <x:v>84666731.8986797</x:v>
      </x:c>
      <x:c r="M19" s="91" t="n">
        <x:f>IF(M$4&gt;='Funding inputs'!$B$76,'Funding inputs'!$B$52*(1+'Funding inputs'!$B$68)^(M$4-'Funding inputs'!$B$15),0)</x:f>
        <x:v>87206733.8556401</x:v>
      </x:c>
      <x:c r="N19" s="91" t="n">
        <x:f>IF(N$4&gt;='Funding inputs'!$B$76,'Funding inputs'!$B$52*(1+'Funding inputs'!$B$68)^(N$4-'Funding inputs'!$B$15),0)</x:f>
        <x:v>89822935.8713093</x:v>
      </x:c>
      <x:c r="O19" s="91" t="n">
        <x:f>IF(O$4&gt;='Funding inputs'!$B$76,'Funding inputs'!$B$52*(1+'Funding inputs'!$B$68)^(O$4-'Funding inputs'!$B$15),0)</x:f>
        <x:v>92517623.94744858</x:v>
      </x:c>
      <x:c r="P19" s="91" t="n">
        <x:f>IF(P$4&gt;='Funding inputs'!$B$76,'Funding inputs'!$B$52*(1+'Funding inputs'!$B$68)^(P$4-'Funding inputs'!$B$15),0)</x:f>
        <x:v>95293152.66587205</x:v>
      </x:c>
      <x:c r="Q19" s="91" t="n">
        <x:f>IF(Q$4&gt;='Funding inputs'!$B$76,'Funding inputs'!$B$52*(1+'Funding inputs'!$B$68)^(Q$4-'Funding inputs'!$B$15),0)</x:f>
        <x:v>98151947.2458482</x:v>
      </x:c>
      <x:c r="R19" s="91" t="n">
        <x:f>IF(R$4&gt;='Funding inputs'!$B$76,'Funding inputs'!$B$52*(1+'Funding inputs'!$B$68)^(R$4-'Funding inputs'!$B$15),0)</x:f>
        <x:v>101096505.66322365</x:v>
      </x:c>
      <x:c r="S19" s="91" t="n">
        <x:f>IF(S$4&gt;='Funding inputs'!$B$76,'Funding inputs'!$B$52*(1+'Funding inputs'!$B$68)^(S$4-'Funding inputs'!$B$15),0)</x:f>
        <x:v>104129400.83312036</x:v>
      </x:c>
      <x:c r="T19" s="91" t="n">
        <x:f>IF(T$4&gt;='Funding inputs'!$B$76,'Funding inputs'!$B$52*(1+'Funding inputs'!$B$68)^(T$4-'Funding inputs'!$B$15),0)</x:f>
        <x:v>107253282.85811399</x:v>
      </x:c>
      <x:c r="U19" s="91" t="n">
        <x:f>IF(U$4&gt;='Funding inputs'!$B$76,'Funding inputs'!$B$52*(1+'Funding inputs'!$B$68)^(U$4-'Funding inputs'!$B$15),0)</x:f>
        <x:v>110470881.34385741</x:v>
      </x:c>
    </x:row>
    <x:row r="20" ht="25" customHeight="1">
      <x:c r="A20" s="107" t="str">
        <x:v>Renewal shortfall / (surplus)</x:v>
      </x:c>
      <x:c r="B20" s="108" t="n">
        <x:f>B16-SUM(B17:B19)</x:f>
        <x:v>60619411.2214286</x:v>
      </x:c>
      <x:c r="C20" s="108" t="n">
        <x:f>C16-SUM(C17:C19)</x:f>
        <x:v>62437993.558071464</x:v>
      </x:c>
      <x:c r="D20" s="108" t="n">
        <x:f>D16-SUM(D17:D19)</x:f>
        <x:v>-2525566.635186404</x:v>
      </x:c>
      <x:c r="E20" s="108" t="n">
        <x:f>E16-SUM(E17:E19)</x:f>
        <x:v>-2601333.634241998</x:v>
      </x:c>
      <x:c r="F20" s="108" t="n">
        <x:f>F16-SUM(F17:F19)</x:f>
        <x:v>-2679373.6432692558</x:v>
      </x:c>
      <x:c r="G20" s="108" t="n">
        <x:f>G16-SUM(G17:G19)</x:f>
        <x:v>-733291.8600540012</x:v>
      </x:c>
      <x:c r="H20" s="108" t="n">
        <x:f>H16-SUM(H17:H19)</x:f>
        <x:v>-755290.6158556342</x:v>
      </x:c>
      <x:c r="I20" s="108" t="n">
        <x:f>I16-SUM(I17:I19)</x:f>
        <x:v>-777949.3343313038</x:v>
      </x:c>
      <x:c r="J20" s="108" t="n">
        <x:f>J16-SUM(J17:J19)</x:f>
        <x:v>-801287.8143612146</x:v>
      </x:c>
      <x:c r="K20" s="108" t="n">
        <x:f>K16-SUM(K17:K19)</x:f>
        <x:v>-825326.4487920702</x:v>
      </x:c>
      <x:c r="L20" s="108" t="n">
        <x:f>L16-SUM(L17:L19)</x:f>
        <x:v>-850086.2422558367</x:v>
      </x:c>
      <x:c r="M20" s="108" t="n">
        <x:f>M16-SUM(M17:M19)</x:f>
        <x:v>-875588.8295235038</x:v>
      </x:c>
      <x:c r="N20" s="108" t="n">
        <x:f>N16-SUM(N17:N19)</x:f>
        <x:v>-901856.4944092035</x:v>
      </x:c>
      <x:c r="O20" s="108" t="n">
        <x:f>O16-SUM(O17:O19)</x:f>
        <x:v>-928912.1892414838</x:v>
      </x:c>
      <x:c r="P20" s="108" t="n">
        <x:f>P16-SUM(P17:P19)</x:f>
        <x:v>-956779.5549187362</x:v>
      </x:c>
      <x:c r="Q20" s="108" t="n">
        <x:f>Q16-SUM(Q17:Q19)</x:f>
        <x:v>-985482.9415662736</x:v>
      </x:c>
      <x:c r="R20" s="108" t="n">
        <x:f>R16-SUM(R17:R19)</x:f>
        <x:v>-1015047.4298132807</x:v>
      </x:c>
      <x:c r="S20" s="108" t="n">
        <x:f>S16-SUM(S17:S19)</x:f>
        <x:v>-1045498.8527076691</x:v>
      </x:c>
      <x:c r="T20" s="108" t="n">
        <x:f>T16-SUM(T17:T19)</x:f>
        <x:v>-1076863.8182889074</x:v>
      </x:c>
      <x:c r="U20" s="108" t="n">
        <x:f>U16-SUM(U17:U19)</x:f>
        <x:v>-1109169.7328375876</x:v>
      </x:c>
    </x:row>
    <x:row r="21" ht="25" customHeight="1">
      <x:c r="A21" s="56"/>
      <x:c r="B21" s="70"/>
      <x:c r="C21" s="70"/>
      <x:c r="D21" s="70"/>
      <x:c r="E21" s="70"/>
      <x:c r="F21" s="70"/>
      <x:c r="G21" s="70"/>
      <x:c r="H21" s="70"/>
      <x:c r="I21" s="70"/>
      <x:c r="J21" s="70"/>
      <x:c r="K21" s="70"/>
      <x:c r="L21" s="70"/>
      <x:c r="M21" s="70"/>
      <x:c r="N21" s="70"/>
      <x:c r="O21" s="70"/>
      <x:c r="P21" s="70"/>
      <x:c r="Q21" s="70"/>
      <x:c r="R21" s="70"/>
      <x:c r="S21" s="70"/>
      <x:c r="T21" s="70"/>
      <x:c r="U21" s="70"/>
    </x:row>
    <x:row r="22" ht="25" customHeight="1">
      <x:c r="A22" s="55" t="str">
        <x:v>Backlog: planned project spending</x:v>
      </x:c>
      <x:c r="B22" s="78" t="n">
        <x:f>'Bond financing'!D17</x:f>
        <x:v>0</x:v>
      </x:c>
      <x:c r="C22" s="78" t="n">
        <x:f>'Bond financing'!D18</x:f>
        <x:v>0</x:v>
      </x:c>
      <x:c r="D22" s="78" t="n">
        <x:f>'Bond financing'!D19</x:f>
        <x:v>53681540</x:v>
      </x:c>
      <x:c r="E22" s="78" t="n">
        <x:f>'Bond financing'!D20</x:f>
        <x:v>55291986.2</x:v>
      </x:c>
      <x:c r="F22" s="78" t="n">
        <x:f>'Bond financing'!D21</x:f>
        <x:v>56950745.786000006</x:v>
      </x:c>
      <x:c r="G22" s="78" t="n">
        <x:f>'Bond financing'!D22</x:f>
        <x:v>58659268.15958</x:v>
      </x:c>
      <x:c r="H22" s="78" t="n">
        <x:f>'Bond financing'!D23</x:f>
        <x:v>60419046.20436741</x:v>
      </x:c>
      <x:c r="I22" s="78" t="n">
        <x:f>'Bond financing'!D24</x:f>
        <x:v>62231617.59049843</x:v>
      </x:c>
      <x:c r="J22" s="78" t="n">
        <x:f>'Bond financing'!D25</x:f>
        <x:v>64098566.118213385</x:v>
      </x:c>
      <x:c r="K22" s="78" t="n">
        <x:f>'Bond financing'!D26</x:f>
        <x:v>66021523.10175979</x:v>
      </x:c>
      <x:c r="L22" s="78" t="n">
        <x:f>'Bond financing'!D27</x:f>
        <x:v>68002168.79481259</x:v>
      </x:c>
      <x:c r="M22" s="78" t="n">
        <x:f>'Bond financing'!D28</x:f>
        <x:v>70042233.85865696</x:v>
      </x:c>
      <x:c r="N22" s="78" t="n">
        <x:f>'Bond financing'!D29</x:f>
        <x:v>72143500.87441668</x:v>
      </x:c>
      <x:c r="O22" s="78" t="n">
        <x:f>'Bond financing'!D30</x:f>
        <x:v>74307805.90064918</x:v>
      </x:c>
      <x:c r="P22" s="78" t="n">
        <x:f>'Bond financing'!D31</x:f>
        <x:v>76537040.07766867</x:v>
      </x:c>
      <x:c r="Q22" s="78" t="n">
        <x:f>'Bond financing'!D32</x:f>
        <x:v>78833151.27999872</x:v>
      </x:c>
      <x:c r="R22" s="78" t="n">
        <x:f>'Bond financing'!D33</x:f>
        <x:v>81198145.81839868</x:v>
      </x:c>
      <x:c r="S22" s="78" t="n">
        <x:f>'Bond financing'!D34</x:f>
        <x:v>0</x:v>
      </x:c>
      <x:c r="T22" s="78" t="n">
        <x:f>'Bond financing'!D35</x:f>
        <x:v>0</x:v>
      </x:c>
      <x:c r="U22" s="78" t="n">
        <x:f>'Bond financing'!D36</x:f>
        <x:v>0</x:v>
      </x:c>
    </x:row>
    <x:row r="23" ht="25" customHeight="1">
      <x:c r="A23" s="56" t="str">
        <x:v>Net bond proceeds</x:v>
      </x:c>
      <x:c r="B23" s="91" t="n">
        <x:f>'Bond financing'!B17</x:f>
        <x:v>0</x:v>
      </x:c>
      <x:c r="C23" s="91" t="n">
        <x:f>'Bond financing'!B18</x:f>
        <x:v>0</x:v>
      </x:c>
      <x:c r="D23" s="91" t="n">
        <x:f>'Bond financing'!B19</x:f>
        <x:v>285002586.3499474</x:v>
      </x:c>
      <x:c r="E23" s="91" t="n">
        <x:f>'Bond financing'!B20</x:f>
        <x:v>0</x:v>
      </x:c>
      <x:c r="F23" s="91" t="n">
        <x:f>'Bond financing'!B21</x:f>
        <x:v>0</x:v>
      </x:c>
      <x:c r="G23" s="91" t="n">
        <x:f>'Bond financing'!B22</x:f>
        <x:v>0</x:v>
      </x:c>
      <x:c r="H23" s="91" t="n">
        <x:f>'Bond financing'!B23</x:f>
        <x:v>0</x:v>
      </x:c>
      <x:c r="I23" s="91" t="n">
        <x:f>'Bond financing'!B24</x:f>
        <x:v>330396109.46394116</x:v>
      </x:c>
      <x:c r="J23" s="91" t="n">
        <x:f>'Bond financing'!B25</x:f>
        <x:v>0</x:v>
      </x:c>
      <x:c r="K23" s="91" t="n">
        <x:f>'Bond financing'!B26</x:f>
        <x:v>0</x:v>
      </x:c>
      <x:c r="L23" s="91" t="n">
        <x:f>'Bond financing'!B27</x:f>
        <x:v>0</x:v>
      </x:c>
      <x:c r="M23" s="91" t="n">
        <x:f>'Bond financing'!B28</x:f>
        <x:v>0</x:v>
      </x:c>
      <x:c r="N23" s="91" t="n">
        <x:f>'Bond financing'!B29</x:f>
        <x:v>383019643.95113194</x:v>
      </x:c>
      <x:c r="O23" s="91" t="n">
        <x:f>'Bond financing'!B30</x:f>
        <x:v>0</x:v>
      </x:c>
      <x:c r="P23" s="91" t="n">
        <x:f>'Bond financing'!B31</x:f>
        <x:v>0</x:v>
      </x:c>
      <x:c r="Q23" s="91" t="n">
        <x:f>'Bond financing'!B32</x:f>
        <x:v>0</x:v>
      </x:c>
      <x:c r="R23" s="91" t="n">
        <x:f>'Bond financing'!B33</x:f>
        <x:v>0</x:v>
      </x:c>
      <x:c r="S23" s="91" t="n">
        <x:f>'Bond financing'!B34</x:f>
        <x:v>0</x:v>
      </x:c>
      <x:c r="T23" s="91" t="n">
        <x:f>'Bond financing'!B35</x:f>
        <x:v>0</x:v>
      </x:c>
      <x:c r="U23" s="91" t="n">
        <x:f>'Bond financing'!B36</x:f>
        <x:v>0</x:v>
      </x:c>
    </x:row>
    <x:row r="24" ht="25" customHeight="1">
      <x:c r="A24" s="55" t="str">
        <x:v>Opening bond project cash</x:v>
      </x:c>
      <x:c r="B24" s="78" t="n">
        <x:f>'Bond financing'!E17</x:f>
        <x:v>0</x:v>
      </x:c>
      <x:c r="C24" s="78" t="n">
        <x:f>'Bond financing'!E18</x:f>
        <x:v>0</x:v>
      </x:c>
      <x:c r="D24" s="78" t="n">
        <x:f>'Bond financing'!E19</x:f>
        <x:v>0</x:v>
      </x:c>
      <x:c r="E24" s="78" t="n">
        <x:f>'Bond financing'!E20</x:f>
        <x:v>231321046.3499474</x:v>
      </x:c>
      <x:c r="F24" s="78" t="n">
        <x:f>'Bond financing'!E21</x:f>
        <x:v>176029060.1499474</x:v>
      </x:c>
      <x:c r="G24" s="78" t="n">
        <x:f>'Bond financing'!E22</x:f>
        <x:v>119078314.36394739</x:v>
      </x:c>
      <x:c r="H24" s="78" t="n">
        <x:f>'Bond financing'!E23</x:f>
        <x:v>60419046.20436739</x:v>
      </x:c>
      <x:c r="I24" s="78" t="n">
        <x:f>'Bond financing'!E24</x:f>
        <x:v>0</x:v>
      </x:c>
      <x:c r="J24" s="78" t="n">
        <x:f>'Bond financing'!E25</x:f>
        <x:v>268164491.8734427</x:v>
      </x:c>
      <x:c r="K24" s="78" t="n">
        <x:f>'Bond financing'!E26</x:f>
        <x:v>204065925.75522932</x:v>
      </x:c>
      <x:c r="L24" s="78" t="n">
        <x:f>'Bond financing'!E27</x:f>
        <x:v>138044402.65346953</x:v>
      </x:c>
      <x:c r="M24" s="78" t="n">
        <x:f>'Bond financing'!E28</x:f>
        <x:v>70042233.85865694</x:v>
      </x:c>
      <x:c r="N24" s="78" t="n">
        <x:f>'Bond financing'!E29</x:f>
        <x:v>0</x:v>
      </x:c>
      <x:c r="O24" s="78" t="n">
        <x:f>'Bond financing'!E30</x:f>
        <x:v>310876143.07671523</x:v>
      </x:c>
      <x:c r="P24" s="78" t="n">
        <x:f>'Bond financing'!E31</x:f>
        <x:v>236568337.17606604</x:v>
      </x:c>
      <x:c r="Q24" s="78" t="n">
        <x:f>'Bond financing'!E32</x:f>
        <x:v>160031297.09839737</x:v>
      </x:c>
      <x:c r="R24" s="78" t="n">
        <x:f>'Bond financing'!E33</x:f>
        <x:v>81198145.81839865</x:v>
      </x:c>
      <x:c r="S24" s="78" t="n">
        <x:f>'Bond financing'!E34</x:f>
        <x:v>0</x:v>
      </x:c>
      <x:c r="T24" s="78" t="n">
        <x:f>'Bond financing'!E35</x:f>
        <x:v>0</x:v>
      </x:c>
      <x:c r="U24" s="78" t="n">
        <x:f>'Bond financing'!E36</x:f>
        <x:v>0</x:v>
      </x:c>
    </x:row>
    <x:row r="25" ht="25" customHeight="1">
      <x:c r="A25" s="56" t="str">
        <x:v>Closing bond project cash</x:v>
      </x:c>
      <x:c r="B25" s="91" t="n">
        <x:f>'Bond financing'!G17</x:f>
        <x:v>0</x:v>
      </x:c>
      <x:c r="C25" s="91" t="n">
        <x:f>'Bond financing'!G18</x:f>
        <x:v>0</x:v>
      </x:c>
      <x:c r="D25" s="91" t="n">
        <x:f>'Bond financing'!G19</x:f>
        <x:v>231321046.3499474</x:v>
      </x:c>
      <x:c r="E25" s="91" t="n">
        <x:f>'Bond financing'!G20</x:f>
        <x:v>176029060.1499474</x:v>
      </x:c>
      <x:c r="F25" s="91" t="n">
        <x:f>'Bond financing'!G21</x:f>
        <x:v>119078314.36394739</x:v>
      </x:c>
      <x:c r="G25" s="91" t="n">
        <x:f>'Bond financing'!G22</x:f>
        <x:v>60419046.20436739</x:v>
      </x:c>
      <x:c r="H25" s="91" t="n">
        <x:f>'Bond financing'!G23</x:f>
        <x:v>0</x:v>
      </x:c>
      <x:c r="I25" s="91" t="n">
        <x:f>'Bond financing'!G24</x:f>
        <x:v>268164491.8734427</x:v>
      </x:c>
      <x:c r="J25" s="91" t="n">
        <x:f>'Bond financing'!G25</x:f>
        <x:v>204065925.75522932</x:v>
      </x:c>
      <x:c r="K25" s="91" t="n">
        <x:f>'Bond financing'!G26</x:f>
        <x:v>138044402.65346953</x:v>
      </x:c>
      <x:c r="L25" s="91" t="n">
        <x:f>'Bond financing'!G27</x:f>
        <x:v>70042233.85865694</x:v>
      </x:c>
      <x:c r="M25" s="91" t="n">
        <x:f>'Bond financing'!G28</x:f>
        <x:v>0</x:v>
      </x:c>
      <x:c r="N25" s="91" t="n">
        <x:f>'Bond financing'!G29</x:f>
        <x:v>310876143.07671523</x:v>
      </x:c>
      <x:c r="O25" s="91" t="n">
        <x:f>'Bond financing'!G30</x:f>
        <x:v>236568337.17606604</x:v>
      </x:c>
      <x:c r="P25" s="91" t="n">
        <x:f>'Bond financing'!G31</x:f>
        <x:v>160031297.09839737</x:v>
      </x:c>
      <x:c r="Q25" s="91" t="n">
        <x:f>'Bond financing'!G32</x:f>
        <x:v>81198145.81839865</x:v>
      </x:c>
      <x:c r="R25" s="91" t="n">
        <x:f>'Bond financing'!G33</x:f>
        <x:v>0</x:v>
      </x:c>
      <x:c r="S25" s="91" t="n">
        <x:f>'Bond financing'!G34</x:f>
        <x:v>0</x:v>
      </x:c>
      <x:c r="T25" s="91" t="n">
        <x:f>'Bond financing'!G35</x:f>
        <x:v>0</x:v>
      </x:c>
      <x:c r="U25" s="91" t="n">
        <x:f>'Bond financing'!G36</x:f>
        <x:v>0</x:v>
      </x:c>
    </x:row>
    <x:row r="26" ht="25" customHeight="1">
      <x:c r="A26" s="55" t="str">
        <x:v>Unfunded planned backlog projects</x:v>
      </x:c>
      <x:c r="B26" s="78" t="n">
        <x:f>'Bond financing'!H17</x:f>
        <x:v>0</x:v>
      </x:c>
      <x:c r="C26" s="78" t="n">
        <x:f>'Bond financing'!H18</x:f>
        <x:v>0</x:v>
      </x:c>
      <x:c r="D26" s="78" t="n">
        <x:f>'Bond financing'!H19</x:f>
        <x:v>0</x:v>
      </x:c>
      <x:c r="E26" s="78" t="n">
        <x:f>'Bond financing'!H20</x:f>
        <x:v>0</x:v>
      </x:c>
      <x:c r="F26" s="78" t="n">
        <x:f>'Bond financing'!H21</x:f>
        <x:v>0</x:v>
      </x:c>
      <x:c r="G26" s="78" t="n">
        <x:f>'Bond financing'!H22</x:f>
        <x:v>0</x:v>
      </x:c>
      <x:c r="H26" s="78" t="n">
        <x:f>'Bond financing'!H23</x:f>
        <x:v>1.4901161193847656e-8</x:v>
      </x:c>
      <x:c r="I26" s="78" t="n">
        <x:f>'Bond financing'!H24</x:f>
        <x:v>0</x:v>
      </x:c>
      <x:c r="J26" s="78" t="n">
        <x:f>'Bond financing'!H25</x:f>
        <x:v>0</x:v>
      </x:c>
      <x:c r="K26" s="78" t="n">
        <x:f>'Bond financing'!H26</x:f>
        <x:v>0</x:v>
      </x:c>
      <x:c r="L26" s="78" t="n">
        <x:f>'Bond financing'!H27</x:f>
        <x:v>0</x:v>
      </x:c>
      <x:c r="M26" s="78" t="n">
        <x:f>'Bond financing'!H28</x:f>
        <x:v>1.4901161193847656e-8</x:v>
      </x:c>
      <x:c r="N26" s="78" t="n">
        <x:f>'Bond financing'!H29</x:f>
        <x:v>0</x:v>
      </x:c>
      <x:c r="O26" s="78" t="n">
        <x:f>'Bond financing'!H30</x:f>
        <x:v>0</x:v>
      </x:c>
      <x:c r="P26" s="78" t="n">
        <x:f>'Bond financing'!H31</x:f>
        <x:v>0</x:v>
      </x:c>
      <x:c r="Q26" s="78" t="n">
        <x:f>'Bond financing'!H32</x:f>
        <x:v>0</x:v>
      </x:c>
      <x:c r="R26" s="78" t="n">
        <x:f>'Bond financing'!H33</x:f>
        <x:v>2.9802322387695312e-8</x:v>
      </x:c>
      <x:c r="S26" s="78" t="n">
        <x:f>'Bond financing'!H34</x:f>
        <x:v>0</x:v>
      </x:c>
      <x:c r="T26" s="78" t="n">
        <x:f>'Bond financing'!H35</x:f>
        <x:v>0</x:v>
      </x:c>
      <x:c r="U26" s="78" t="n">
        <x:f>'Bond financing'!H36</x:f>
        <x:v>0</x:v>
      </x:c>
    </x:row>
    <x:row r="27" ht="25" customHeight="1">
      <x:c r="A27" s="56" t="str">
        <x:v>Bond debt service</x:v>
      </x:c>
      <x:c r="B27" s="91" t="n">
        <x:f>'Bond financing'!C17</x:f>
        <x:v>0</x:v>
      </x:c>
      <x:c r="C27" s="91" t="n">
        <x:f>'Bond financing'!C18</x:f>
        <x:v>0</x:v>
      </x:c>
      <x:c r="D27" s="91" t="n">
        <x:f>'Bond financing'!C19</x:f>
        <x:v>23336066.208936915</x:v>
      </x:c>
      <x:c r="E27" s="91" t="n">
        <x:f>'Bond financing'!C20</x:f>
        <x:v>23336066.208936915</x:v>
      </x:c>
      <x:c r="F27" s="91" t="n">
        <x:f>'Bond financing'!C21</x:f>
        <x:v>23336066.208936915</x:v>
      </x:c>
      <x:c r="G27" s="91" t="n">
        <x:f>'Bond financing'!C22</x:f>
        <x:v>23336066.208936915</x:v>
      </x:c>
      <x:c r="H27" s="91" t="n">
        <x:f>'Bond financing'!C23</x:f>
        <x:v>23336066.208936915</x:v>
      </x:c>
      <x:c r="I27" s="91" t="n">
        <x:f>'Bond financing'!C24</x:f>
        <x:v>50388962.761105776</x:v>
      </x:c>
      <x:c r="J27" s="91" t="n">
        <x:f>'Bond financing'!C25</x:f>
        <x:v>50388962.761105776</x:v>
      </x:c>
      <x:c r="K27" s="91" t="n">
        <x:f>'Bond financing'!C26</x:f>
        <x:v>50388962.761105776</x:v>
      </x:c>
      <x:c r="L27" s="91" t="n">
        <x:f>'Bond financing'!C27</x:f>
        <x:v>50388962.761105776</x:v>
      </x:c>
      <x:c r="M27" s="91" t="n">
        <x:f>'Bond financing'!C28</x:f>
        <x:v>50388962.761105776</x:v>
      </x:c>
      <x:c r="N27" s="91" t="n">
        <x:f>'Bond financing'!C29</x:f>
        <x:v>81750684.368755</x:v>
      </x:c>
      <x:c r="O27" s="91" t="n">
        <x:f>'Bond financing'!C30</x:f>
        <x:v>81750684.368755</x:v>
      </x:c>
      <x:c r="P27" s="91" t="n">
        <x:f>'Bond financing'!C31</x:f>
        <x:v>81750684.368755</x:v>
      </x:c>
      <x:c r="Q27" s="91" t="n">
        <x:f>'Bond financing'!C32</x:f>
        <x:v>81750684.368755</x:v>
      </x:c>
      <x:c r="R27" s="91" t="n">
        <x:f>'Bond financing'!C33</x:f>
        <x:v>81750684.368755</x:v>
      </x:c>
      <x:c r="S27" s="91" t="n">
        <x:f>'Bond financing'!C34</x:f>
        <x:v>81750684.368755</x:v>
      </x:c>
      <x:c r="T27" s="91" t="n">
        <x:f>'Bond financing'!C35</x:f>
        <x:v>81750684.368755</x:v>
      </x:c>
      <x:c r="U27" s="91" t="n">
        <x:f>'Bond financing'!C36</x:f>
        <x:v>81750684.368755</x:v>
      </x:c>
    </x:row>
    <x:row r="28" ht="25" customHeight="1">
      <x:c r="A28" s="55" t="str">
        <x:v>Required debt-tax receipts (proposed)</x:v>
      </x:c>
      <x:c r="B28" s="69" t="n">
        <x:f>B27</x:f>
        <x:v>0</x:v>
      </x:c>
      <x:c r="C28" s="69" t="n">
        <x:f>C27</x:f>
        <x:v>0</x:v>
      </x:c>
      <x:c r="D28" s="69" t="n">
        <x:f>D27</x:f>
        <x:v>23336066.208936915</x:v>
      </x:c>
      <x:c r="E28" s="69" t="n">
        <x:f>E27</x:f>
        <x:v>23336066.208936915</x:v>
      </x:c>
      <x:c r="F28" s="69" t="n">
        <x:f>F27</x:f>
        <x:v>23336066.208936915</x:v>
      </x:c>
      <x:c r="G28" s="69" t="n">
        <x:f>G27</x:f>
        <x:v>23336066.208936915</x:v>
      </x:c>
      <x:c r="H28" s="69" t="n">
        <x:f>H27</x:f>
        <x:v>23336066.208936915</x:v>
      </x:c>
      <x:c r="I28" s="69" t="n">
        <x:f>I27</x:f>
        <x:v>50388962.761105776</x:v>
      </x:c>
      <x:c r="J28" s="69" t="n">
        <x:f>J27</x:f>
        <x:v>50388962.761105776</x:v>
      </x:c>
      <x:c r="K28" s="69" t="n">
        <x:f>K27</x:f>
        <x:v>50388962.761105776</x:v>
      </x:c>
      <x:c r="L28" s="69" t="n">
        <x:f>L27</x:f>
        <x:v>50388962.761105776</x:v>
      </x:c>
      <x:c r="M28" s="69" t="n">
        <x:f>M27</x:f>
        <x:v>50388962.761105776</x:v>
      </x:c>
      <x:c r="N28" s="69" t="n">
        <x:f>N27</x:f>
        <x:v>81750684.368755</x:v>
      </x:c>
      <x:c r="O28" s="69" t="n">
        <x:f>O27</x:f>
        <x:v>81750684.368755</x:v>
      </x:c>
      <x:c r="P28" s="69" t="n">
        <x:f>P27</x:f>
        <x:v>81750684.368755</x:v>
      </x:c>
      <x:c r="Q28" s="69" t="n">
        <x:f>Q27</x:f>
        <x:v>81750684.368755</x:v>
      </x:c>
      <x:c r="R28" s="69" t="n">
        <x:f>R27</x:f>
        <x:v>81750684.368755</x:v>
      </x:c>
      <x:c r="S28" s="69" t="n">
        <x:f>S27</x:f>
        <x:v>81750684.368755</x:v>
      </x:c>
      <x:c r="T28" s="69" t="n">
        <x:f>T27</x:f>
        <x:v>81750684.368755</x:v>
      </x:c>
      <x:c r="U28" s="69" t="n">
        <x:f>U27</x:f>
        <x:v>81750684.368755</x:v>
      </x:c>
    </x:row>
    <x:row r="29" ht="25" customHeight="1">
      <x:c r="A29" s="56"/>
      <x:c r="B29" s="70"/>
      <x:c r="C29" s="70"/>
      <x:c r="D29" s="70"/>
      <x:c r="E29" s="70"/>
      <x:c r="F29" s="70"/>
      <x:c r="G29" s="70"/>
      <x:c r="H29" s="70"/>
      <x:c r="I29" s="70"/>
      <x:c r="J29" s="70"/>
      <x:c r="K29" s="70"/>
      <x:c r="L29" s="70"/>
      <x:c r="M29" s="70"/>
      <x:c r="N29" s="70"/>
      <x:c r="O29" s="70"/>
      <x:c r="P29" s="70"/>
      <x:c r="Q29" s="70"/>
      <x:c r="R29" s="70"/>
      <x:c r="S29" s="70"/>
      <x:c r="T29" s="70"/>
      <x:c r="U29" s="70"/>
    </x:row>
    <x:row r="30" ht="25" customHeight="1">
      <x:c r="A30" s="103" t="str">
        <x:v>Total proposed new recurring receipts</x:v>
      </x:c>
      <x:c r="B30" s="104" t="n">
        <x:f>SUM(B10:B11)+B19+B28</x:f>
        <x:v>0</x:v>
      </x:c>
      <x:c r="C30" s="104" t="n">
        <x:f>SUM(C10:C11)+C19+C28</x:f>
        <x:v>0</x:v>
      </x:c>
      <x:c r="D30" s="104" t="n">
        <x:f>SUM(D10:D11)+D19+D28</x:f>
        <x:v>114197316.20893691</x:v>
      </x:c>
      <x:c r="E30" s="104" t="n">
        <x:f>SUM(E10:E11)+E19+E28</x:f>
        <x:v>117283521.95893691</x:v>
      </x:c>
      <x:c r="F30" s="104" t="n">
        <x:f>SUM(F10:F11)+F19+F28</x:f>
        <x:v>120478530.45268692</x:v>
      </x:c>
      <x:c r="G30" s="104" t="n">
        <x:f>SUM(G10:G11)+G19+G28</x:f>
        <x:v>233213716.07492924</x:v>
      </x:c>
      <x:c r="H30" s="104" t="n">
        <x:f>SUM(H10:H11)+H19+H28</x:f>
        <x:v>241562696.3186854</x:v>
      </x:c>
      <x:c r="I30" s="104" t="n">
        <x:f>SUM(I10:I11)+I19+I28</x:f>
        <x:v>277307411.80557305</x:v>
      </x:c>
      <x:c r="J30" s="104" t="n">
        <x:f>SUM(J10:J11)+J19+J28</x:f>
        <x:v>286356511.20974755</x:v>
      </x:c>
      <x:c r="K30" s="104" t="n">
        <x:f>SUM(K10:K11)+K19+K28</x:f>
        <x:v>295777953.16302514</x:v>
      </x:c>
      <x:c r="L30" s="104" t="n">
        <x:f>SUM(L10:L11)+L19+L28</x:f>
        <x:v>305587447.0723928</x:v>
      </x:c>
      <x:c r="M30" s="104" t="n">
        <x:f>SUM(M10:M11)+M19+M28</x:f>
        <x:v>315801377.88792056</x:v>
      </x:c>
      <x:c r="N30" s="104" t="n">
        <x:f>SUM(N10:N11)+N19+N28</x:f>
        <x:v>357798557.16844183</x:v>
      </x:c>
      <x:c r="O30" s="104" t="n">
        <x:f>SUM(O10:O11)+O19+O28</x:f>
        <x:v>368873367.40635806</x:v>
      </x:c>
      <x:c r="P30" s="104" t="n">
        <x:f>SUM(P10:P11)+P19+P28</x:f>
        <x:v>380406123.78383845</x:v>
      </x:c>
      <x:c r="Q30" s="104" t="n">
        <x:f>SUM(Q10:Q11)+Q19+Q28</x:f>
        <x:v>392416221.26752913</x:v>
      </x:c>
      <x:c r="R30" s="104" t="n">
        <x:f>SUM(R10:R11)+R19+R28</x:f>
        <x:v>404923891.21928626</x:v>
      </x:c>
      <x:c r="S30" s="104" t="n">
        <x:f>SUM(S10:S11)+S19+S28</x:f>
        <x:v>417950237.94261175</x:v>
      </x:c>
      <x:c r="T30" s="104" t="n">
        <x:f>SUM(T10:T11)+T19+T28</x:f>
        <x:v>431517276.8409385</x:v>
      </x:c>
      <x:c r="U30" s="104" t="n">
        <x:f>SUM(U10:U11)+U19+U28</x:f>
        <x:v>445647974.2593151</x:v>
      </x:c>
    </x:row>
    <x:row r="31" ht="25" customHeight="1">
      <x:c r="A31" s="56"/>
      <x:c r="B31" s="70"/>
      <x:c r="C31" s="70"/>
      <x:c r="D31" s="70"/>
      <x:c r="E31" s="70"/>
      <x:c r="F31" s="70"/>
      <x:c r="G31" s="70"/>
      <x:c r="H31" s="70"/>
      <x:c r="I31" s="70"/>
      <x:c r="J31" s="70"/>
      <x:c r="K31" s="70"/>
      <x:c r="L31" s="70"/>
      <x:c r="M31" s="70"/>
      <x:c r="N31" s="70"/>
      <x:c r="O31" s="70"/>
      <x:c r="P31" s="70"/>
      <x:c r="Q31" s="70"/>
      <x:c r="R31" s="70"/>
      <x:c r="S31" s="70"/>
      <x:c r="T31" s="70"/>
      <x:c r="U31" s="70"/>
    </x:row>
    <x:row r="32" ht="25" customHeight="1">
      <x:c r="A32" s="55" t="str">
        <x:v>Transition cost, two-year deployment</x:v>
      </x:c>
      <x:c r="B32" s="78" t="n">
        <x:f>IF(AND(B$4&gt;='Funding inputs'!$B$17,B$4&lt;'Funding inputs'!$B$17+2),Capital!$D$25/2,0)</x:f>
        <x:v>0</x:v>
      </x:c>
      <x:c r="C32" s="78" t="n">
        <x:f>IF(AND(C$4&gt;='Funding inputs'!$B$17,C$4&lt;'Funding inputs'!$B$17+2),Capital!$D$25/2,0)</x:f>
        <x:v>0</x:v>
      </x:c>
      <x:c r="D32" s="78" t="n">
        <x:f>IF(AND(D$4&gt;='Funding inputs'!$B$17,D$4&lt;'Funding inputs'!$B$17+2),Capital!$D$25/2,0)</x:f>
        <x:v>1500000</x:v>
      </x:c>
      <x:c r="E32" s="78" t="n">
        <x:f>IF(AND(E$4&gt;='Funding inputs'!$B$17,E$4&lt;'Funding inputs'!$B$17+2),Capital!$D$25/2,0)</x:f>
        <x:v>1500000</x:v>
      </x:c>
      <x:c r="F32" s="78" t="n">
        <x:f>IF(AND(F$4&gt;='Funding inputs'!$B$17,F$4&lt;'Funding inputs'!$B$17+2),Capital!$D$25/2,0)</x:f>
        <x:v>0</x:v>
      </x:c>
      <x:c r="G32" s="78" t="n">
        <x:f>IF(AND(G$4&gt;='Funding inputs'!$B$17,G$4&lt;'Funding inputs'!$B$17+2),Capital!$D$25/2,0)</x:f>
        <x:v>0</x:v>
      </x:c>
      <x:c r="H32" s="78" t="n">
        <x:f>IF(AND(H$4&gt;='Funding inputs'!$B$17,H$4&lt;'Funding inputs'!$B$17+2),Capital!$D$25/2,0)</x:f>
        <x:v>0</x:v>
      </x:c>
      <x:c r="I32" s="78" t="n">
        <x:f>IF(AND(I$4&gt;='Funding inputs'!$B$17,I$4&lt;'Funding inputs'!$B$17+2),Capital!$D$25/2,0)</x:f>
        <x:v>0</x:v>
      </x:c>
      <x:c r="J32" s="78" t="n">
        <x:f>IF(AND(J$4&gt;='Funding inputs'!$B$17,J$4&lt;'Funding inputs'!$B$17+2),Capital!$D$25/2,0)</x:f>
        <x:v>0</x:v>
      </x:c>
      <x:c r="K32" s="78" t="n">
        <x:f>IF(AND(K$4&gt;='Funding inputs'!$B$17,K$4&lt;'Funding inputs'!$B$17+2),Capital!$D$25/2,0)</x:f>
        <x:v>0</x:v>
      </x:c>
      <x:c r="L32" s="78" t="n">
        <x:f>IF(AND(L$4&gt;='Funding inputs'!$B$17,L$4&lt;'Funding inputs'!$B$17+2),Capital!$D$25/2,0)</x:f>
        <x:v>0</x:v>
      </x:c>
      <x:c r="M32" s="78" t="n">
        <x:f>IF(AND(M$4&gt;='Funding inputs'!$B$17,M$4&lt;'Funding inputs'!$B$17+2),Capital!$D$25/2,0)</x:f>
        <x:v>0</x:v>
      </x:c>
      <x:c r="N32" s="78" t="n">
        <x:f>IF(AND(N$4&gt;='Funding inputs'!$B$17,N$4&lt;'Funding inputs'!$B$17+2),Capital!$D$25/2,0)</x:f>
        <x:v>0</x:v>
      </x:c>
      <x:c r="O32" s="78" t="n">
        <x:f>IF(AND(O$4&gt;='Funding inputs'!$B$17,O$4&lt;'Funding inputs'!$B$17+2),Capital!$D$25/2,0)</x:f>
        <x:v>0</x:v>
      </x:c>
      <x:c r="P32" s="78" t="n">
        <x:f>IF(AND(P$4&gt;='Funding inputs'!$B$17,P$4&lt;'Funding inputs'!$B$17+2),Capital!$D$25/2,0)</x:f>
        <x:v>0</x:v>
      </x:c>
      <x:c r="Q32" s="78" t="n">
        <x:f>IF(AND(Q$4&gt;='Funding inputs'!$B$17,Q$4&lt;'Funding inputs'!$B$17+2),Capital!$D$25/2,0)</x:f>
        <x:v>0</x:v>
      </x:c>
      <x:c r="R32" s="78" t="n">
        <x:f>IF(AND(R$4&gt;='Funding inputs'!$B$17,R$4&lt;'Funding inputs'!$B$17+2),Capital!$D$25/2,0)</x:f>
        <x:v>0</x:v>
      </x:c>
      <x:c r="S32" s="78" t="n">
        <x:f>IF(AND(S$4&gt;='Funding inputs'!$B$17,S$4&lt;'Funding inputs'!$B$17+2),Capital!$D$25/2,0)</x:f>
        <x:v>0</x:v>
      </x:c>
      <x:c r="T32" s="78" t="n">
        <x:f>IF(AND(T$4&gt;='Funding inputs'!$B$17,T$4&lt;'Funding inputs'!$B$17+2),Capital!$D$25/2,0)</x:f>
        <x:v>0</x:v>
      </x:c>
      <x:c r="U32" s="78" t="n">
        <x:f>IF(AND(U$4&gt;='Funding inputs'!$B$17,U$4&lt;'Funding inputs'!$B$17+2),Capital!$D$25/2,0)</x:f>
        <x:v>0</x:v>
      </x:c>
    </x:row>
    <x:row r="33" ht="25" customHeight="1">
      <x:c r="A33" s="56" t="str">
        <x:v>Verified one-time transition resources</x:v>
      </x:c>
      <x:c r="B33" s="91" t="n">
        <x:f>IF(AND(B$4&gt;='Funding inputs'!$B$17,B$4&lt;'Funding inputs'!$B$17+2),'Funding inputs'!$B$29/2,0)</x:f>
        <x:v>0</x:v>
      </x:c>
      <x:c r="C33" s="91" t="n">
        <x:f>IF(AND(C$4&gt;='Funding inputs'!$B$17,C$4&lt;'Funding inputs'!$B$17+2),'Funding inputs'!$B$29/2,0)</x:f>
        <x:v>0</x:v>
      </x:c>
      <x:c r="D33" s="91" t="n">
        <x:f>IF(AND(D$4&gt;='Funding inputs'!$B$17,D$4&lt;'Funding inputs'!$B$17+2),'Funding inputs'!$B$29/2,0)</x:f>
        <x:v>0</x:v>
      </x:c>
      <x:c r="E33" s="91" t="n">
        <x:f>IF(AND(E$4&gt;='Funding inputs'!$B$17,E$4&lt;'Funding inputs'!$B$17+2),'Funding inputs'!$B$29/2,0)</x:f>
        <x:v>0</x:v>
      </x:c>
      <x:c r="F33" s="91" t="n">
        <x:f>IF(AND(F$4&gt;='Funding inputs'!$B$17,F$4&lt;'Funding inputs'!$B$17+2),'Funding inputs'!$B$29/2,0)</x:f>
        <x:v>0</x:v>
      </x:c>
      <x:c r="G33" s="91" t="n">
        <x:f>IF(AND(G$4&gt;='Funding inputs'!$B$17,G$4&lt;'Funding inputs'!$B$17+2),'Funding inputs'!$B$29/2,0)</x:f>
        <x:v>0</x:v>
      </x:c>
      <x:c r="H33" s="91" t="n">
        <x:f>IF(AND(H$4&gt;='Funding inputs'!$B$17,H$4&lt;'Funding inputs'!$B$17+2),'Funding inputs'!$B$29/2,0)</x:f>
        <x:v>0</x:v>
      </x:c>
      <x:c r="I33" s="91" t="n">
        <x:f>IF(AND(I$4&gt;='Funding inputs'!$B$17,I$4&lt;'Funding inputs'!$B$17+2),'Funding inputs'!$B$29/2,0)</x:f>
        <x:v>0</x:v>
      </x:c>
      <x:c r="J33" s="91" t="n">
        <x:f>IF(AND(J$4&gt;='Funding inputs'!$B$17,J$4&lt;'Funding inputs'!$B$17+2),'Funding inputs'!$B$29/2,0)</x:f>
        <x:v>0</x:v>
      </x:c>
      <x:c r="K33" s="91" t="n">
        <x:f>IF(AND(K$4&gt;='Funding inputs'!$B$17,K$4&lt;'Funding inputs'!$B$17+2),'Funding inputs'!$B$29/2,0)</x:f>
        <x:v>0</x:v>
      </x:c>
      <x:c r="L33" s="91" t="n">
        <x:f>IF(AND(L$4&gt;='Funding inputs'!$B$17,L$4&lt;'Funding inputs'!$B$17+2),'Funding inputs'!$B$29/2,0)</x:f>
        <x:v>0</x:v>
      </x:c>
      <x:c r="M33" s="91" t="n">
        <x:f>IF(AND(M$4&gt;='Funding inputs'!$B$17,M$4&lt;'Funding inputs'!$B$17+2),'Funding inputs'!$B$29/2,0)</x:f>
        <x:v>0</x:v>
      </x:c>
      <x:c r="N33" s="91" t="n">
        <x:f>IF(AND(N$4&gt;='Funding inputs'!$B$17,N$4&lt;'Funding inputs'!$B$17+2),'Funding inputs'!$B$29/2,0)</x:f>
        <x:v>0</x:v>
      </x:c>
      <x:c r="O33" s="91" t="n">
        <x:f>IF(AND(O$4&gt;='Funding inputs'!$B$17,O$4&lt;'Funding inputs'!$B$17+2),'Funding inputs'!$B$29/2,0)</x:f>
        <x:v>0</x:v>
      </x:c>
      <x:c r="P33" s="91" t="n">
        <x:f>IF(AND(P$4&gt;='Funding inputs'!$B$17,P$4&lt;'Funding inputs'!$B$17+2),'Funding inputs'!$B$29/2,0)</x:f>
        <x:v>0</x:v>
      </x:c>
      <x:c r="Q33" s="91" t="n">
        <x:f>IF(AND(Q$4&gt;='Funding inputs'!$B$17,Q$4&lt;'Funding inputs'!$B$17+2),'Funding inputs'!$B$29/2,0)</x:f>
        <x:v>0</x:v>
      </x:c>
      <x:c r="R33" s="91" t="n">
        <x:f>IF(AND(R$4&gt;='Funding inputs'!$B$17,R$4&lt;'Funding inputs'!$B$17+2),'Funding inputs'!$B$29/2,0)</x:f>
        <x:v>0</x:v>
      </x:c>
      <x:c r="S33" s="91" t="n">
        <x:f>IF(AND(S$4&gt;='Funding inputs'!$B$17,S$4&lt;'Funding inputs'!$B$17+2),'Funding inputs'!$B$29/2,0)</x:f>
        <x:v>0</x:v>
      </x:c>
      <x:c r="T33" s="91" t="n">
        <x:f>IF(AND(T$4&gt;='Funding inputs'!$B$17,T$4&lt;'Funding inputs'!$B$17+2),'Funding inputs'!$B$29/2,0)</x:f>
        <x:v>0</x:v>
      </x:c>
      <x:c r="U33" s="91" t="n">
        <x:f>IF(AND(U$4&gt;='Funding inputs'!$B$17,U$4&lt;'Funding inputs'!$B$17+2),'Funding inputs'!$B$29/2,0)</x:f>
        <x:v>0</x:v>
      </x:c>
    </x:row>
    <x:row r="34" ht="25" customHeight="1">
      <x:c r="A34" s="55" t="str">
        <x:v>Unfunded transition</x:v>
      </x:c>
      <x:c r="B34" s="69" t="n">
        <x:f>MAX(0,B32-B33)</x:f>
        <x:v>0</x:v>
      </x:c>
      <x:c r="C34" s="69" t="n">
        <x:f>MAX(0,C32-C33)</x:f>
        <x:v>0</x:v>
      </x:c>
      <x:c r="D34" s="69" t="n">
        <x:f>MAX(0,D32-D33)</x:f>
        <x:v>1500000</x:v>
      </x:c>
      <x:c r="E34" s="69" t="n">
        <x:f>MAX(0,E32-E33)</x:f>
        <x:v>1500000</x:v>
      </x:c>
      <x:c r="F34" s="69" t="n">
        <x:f>MAX(0,F32-F33)</x:f>
        <x:v>0</x:v>
      </x:c>
      <x:c r="G34" s="69" t="n">
        <x:f>MAX(0,G32-G33)</x:f>
        <x:v>0</x:v>
      </x:c>
      <x:c r="H34" s="69" t="n">
        <x:f>MAX(0,H32-H33)</x:f>
        <x:v>0</x:v>
      </x:c>
      <x:c r="I34" s="69" t="n">
        <x:f>MAX(0,I32-I33)</x:f>
        <x:v>0</x:v>
      </x:c>
      <x:c r="J34" s="69" t="n">
        <x:f>MAX(0,J32-J33)</x:f>
        <x:v>0</x:v>
      </x:c>
      <x:c r="K34" s="69" t="n">
        <x:f>MAX(0,K32-K33)</x:f>
        <x:v>0</x:v>
      </x:c>
      <x:c r="L34" s="69" t="n">
        <x:f>MAX(0,L32-L33)</x:f>
        <x:v>0</x:v>
      </x:c>
      <x:c r="M34" s="69" t="n">
        <x:f>MAX(0,M32-M33)</x:f>
        <x:v>0</x:v>
      </x:c>
      <x:c r="N34" s="69" t="n">
        <x:f>MAX(0,N32-N33)</x:f>
        <x:v>0</x:v>
      </x:c>
      <x:c r="O34" s="69" t="n">
        <x:f>MAX(0,O32-O33)</x:f>
        <x:v>0</x:v>
      </x:c>
      <x:c r="P34" s="69" t="n">
        <x:f>MAX(0,P32-P33)</x:f>
        <x:v>0</x:v>
      </x:c>
      <x:c r="Q34" s="69" t="n">
        <x:f>MAX(0,Q32-Q33)</x:f>
        <x:v>0</x:v>
      </x:c>
      <x:c r="R34" s="69" t="n">
        <x:f>MAX(0,R32-R33)</x:f>
        <x:v>0</x:v>
      </x:c>
      <x:c r="S34" s="69" t="n">
        <x:f>MAX(0,S32-S33)</x:f>
        <x:v>0</x:v>
      </x:c>
      <x:c r="T34" s="69" t="n">
        <x:f>MAX(0,T32-T33)</x:f>
        <x:v>0</x:v>
      </x:c>
      <x:c r="U34" s="69" t="n">
        <x:f>MAX(0,U32-U33)</x:f>
        <x:v>0</x:v>
      </x:c>
    </x:row>
    <x:row r="35" ht="25" customHeight="1">
      <x:c r="A35" s="56"/>
      <x:c r="B35" s="70"/>
      <x:c r="C35" s="70"/>
      <x:c r="D35" s="70"/>
      <x:c r="E35" s="70"/>
      <x:c r="F35" s="70"/>
      <x:c r="G35" s="70"/>
      <x:c r="H35" s="70"/>
      <x:c r="I35" s="70"/>
      <x:c r="J35" s="70"/>
      <x:c r="K35" s="70"/>
      <x:c r="L35" s="70"/>
      <x:c r="M35" s="70"/>
      <x:c r="N35" s="70"/>
      <x:c r="O35" s="70"/>
      <x:c r="P35" s="70"/>
      <x:c r="Q35" s="70"/>
      <x:c r="R35" s="70"/>
      <x:c r="S35" s="70"/>
      <x:c r="T35" s="70"/>
      <x:c r="U35" s="70"/>
    </x:row>
    <x:row r="36" ht="25" customHeight="1">
      <x:c r="A36" s="55" t="str">
        <x:v>Access / growth planning allowance</x:v>
      </x:c>
      <x:c r="B36" s="78" t="n">
        <x:f>IF(B$4&gt;='Funding inputs'!$B$17,Capital!$D$20*(1+'Funding inputs'!$B$64)^(B$4-'Funding inputs'!$B$15),0)</x:f>
        <x:v>0</x:v>
      </x:c>
      <x:c r="C36" s="78" t="n">
        <x:f>IF(C$4&gt;='Funding inputs'!$B$17,Capital!$D$20*(1+'Funding inputs'!$B$64)^(C$4-'Funding inputs'!$B$15),0)</x:f>
        <x:v>0</x:v>
      </x:c>
      <x:c r="D36" s="78" t="n">
        <x:f>IF(D$4&gt;='Funding inputs'!$B$17,Capital!$D$20*(1+'Funding inputs'!$B$64)^(D$4-'Funding inputs'!$B$15),0)</x:f>
        <x:v>10609000</x:v>
      </x:c>
      <x:c r="E36" s="78" t="n">
        <x:f>IF(E$4&gt;='Funding inputs'!$B$17,Capital!$D$20*(1+'Funding inputs'!$B$64)^(E$4-'Funding inputs'!$B$15),0)</x:f>
        <x:v>10927270</x:v>
      </x:c>
      <x:c r="F36" s="78" t="n">
        <x:f>IF(F$4&gt;='Funding inputs'!$B$17,Capital!$D$20*(1+'Funding inputs'!$B$64)^(F$4-'Funding inputs'!$B$15),0)</x:f>
        <x:v>11255088.100000001</x:v>
      </x:c>
      <x:c r="G36" s="78" t="n">
        <x:f>IF(G$4&gt;='Funding inputs'!$B$17,Capital!$D$20*(1+'Funding inputs'!$B$64)^(G$4-'Funding inputs'!$B$15),0)</x:f>
        <x:v>11592740.743</x:v>
      </x:c>
      <x:c r="H36" s="78" t="n">
        <x:f>IF(H$4&gt;='Funding inputs'!$B$17,Capital!$D$20*(1+'Funding inputs'!$B$64)^(H$4-'Funding inputs'!$B$15),0)</x:f>
        <x:v>11940522.96529</x:v>
      </x:c>
      <x:c r="I36" s="78" t="n">
        <x:f>IF(I$4&gt;='Funding inputs'!$B$17,Capital!$D$20*(1+'Funding inputs'!$B$64)^(I$4-'Funding inputs'!$B$15),0)</x:f>
        <x:v>12298738.654248701</x:v>
      </x:c>
      <x:c r="J36" s="78" t="n">
        <x:f>IF(J$4&gt;='Funding inputs'!$B$17,Capital!$D$20*(1+'Funding inputs'!$B$64)^(J$4-'Funding inputs'!$B$15),0)</x:f>
        <x:v>12667700.813876163</x:v>
      </x:c>
      <x:c r="K36" s="78" t="n">
        <x:f>IF(K$4&gt;='Funding inputs'!$B$17,Capital!$D$20*(1+'Funding inputs'!$B$64)^(K$4-'Funding inputs'!$B$15),0)</x:f>
        <x:v>13047731.83829245</x:v>
      </x:c>
      <x:c r="L36" s="78" t="n">
        <x:f>IF(L$4&gt;='Funding inputs'!$B$17,Capital!$D$20*(1+'Funding inputs'!$B$64)^(L$4-'Funding inputs'!$B$15),0)</x:f>
        <x:v>13439163.793441223</x:v>
      </x:c>
      <x:c r="M36" s="78" t="n">
        <x:f>IF(M$4&gt;='Funding inputs'!$B$17,Capital!$D$20*(1+'Funding inputs'!$B$64)^(M$4-'Funding inputs'!$B$15),0)</x:f>
        <x:v>13842338.70724446</x:v>
      </x:c>
      <x:c r="N36" s="78" t="n">
        <x:f>IF(N$4&gt;='Funding inputs'!$B$17,Capital!$D$20*(1+'Funding inputs'!$B$64)^(N$4-'Funding inputs'!$B$15),0)</x:f>
        <x:v>14257608.868461793</x:v>
      </x:c>
      <x:c r="O36" s="78" t="n">
        <x:f>IF(O$4&gt;='Funding inputs'!$B$17,Capital!$D$20*(1+'Funding inputs'!$B$64)^(O$4-'Funding inputs'!$B$15),0)</x:f>
        <x:v>14685337.134515649</x:v>
      </x:c>
      <x:c r="P36" s="78" t="n">
        <x:f>IF(P$4&gt;='Funding inputs'!$B$17,Capital!$D$20*(1+'Funding inputs'!$B$64)^(P$4-'Funding inputs'!$B$15),0)</x:f>
        <x:v>15125897.24855112</x:v>
      </x:c>
      <x:c r="Q36" s="78" t="n">
        <x:f>IF(Q$4&gt;='Funding inputs'!$B$17,Capital!$D$20*(1+'Funding inputs'!$B$64)^(Q$4-'Funding inputs'!$B$15),0)</x:f>
        <x:v>15579674.166007651</x:v>
      </x:c>
      <x:c r="R36" s="78" t="n">
        <x:f>IF(R$4&gt;='Funding inputs'!$B$17,Capital!$D$20*(1+'Funding inputs'!$B$64)^(R$4-'Funding inputs'!$B$15),0)</x:f>
        <x:v>16047064.390987882</x:v>
      </x:c>
      <x:c r="S36" s="78" t="n">
        <x:f>IF(S$4&gt;='Funding inputs'!$B$17,Capital!$D$20*(1+'Funding inputs'!$B$64)^(S$4-'Funding inputs'!$B$15),0)</x:f>
        <x:v>16528476.322717518</x:v>
      </x:c>
      <x:c r="T36" s="78" t="n">
        <x:f>IF(T$4&gt;='Funding inputs'!$B$17,Capital!$D$20*(1+'Funding inputs'!$B$64)^(T$4-'Funding inputs'!$B$15),0)</x:f>
        <x:v>17024330.612399045</x:v>
      </x:c>
      <x:c r="U36" s="78" t="n">
        <x:f>IF(U$4&gt;='Funding inputs'!$B$17,Capital!$D$20*(1+'Funding inputs'!$B$64)^(U$4-'Funding inputs'!$B$15),0)</x:f>
        <x:v>17535060.530771017</x:v>
      </x:c>
    </x:row>
    <x:row r="37" ht="25" customHeight="1">
      <x:c r="A37" s="56" t="str">
        <x:v>Additional eligible growth receipts</x:v>
      </x:c>
      <x:c r="B37" s="91" t="n">
        <x:f>IF(B$4&gt;='Funding inputs'!$B$76,'Funding inputs'!$B$28*(1+'Funding inputs'!$B$64)^(B$4-'Funding inputs'!$B$15),0)</x:f>
        <x:v>0</x:v>
      </x:c>
      <x:c r="C37" s="91" t="n">
        <x:f>IF(C$4&gt;='Funding inputs'!$B$76,'Funding inputs'!$B$28*(1+'Funding inputs'!$B$64)^(C$4-'Funding inputs'!$B$15),0)</x:f>
        <x:v>0</x:v>
      </x:c>
      <x:c r="D37" s="91" t="n">
        <x:f>IF(D$4&gt;='Funding inputs'!$B$76,'Funding inputs'!$B$28*(1+'Funding inputs'!$B$64)^(D$4-'Funding inputs'!$B$15),0)</x:f>
        <x:v>0</x:v>
      </x:c>
      <x:c r="E37" s="91" t="n">
        <x:f>IF(E$4&gt;='Funding inputs'!$B$76,'Funding inputs'!$B$28*(1+'Funding inputs'!$B$64)^(E$4-'Funding inputs'!$B$15),0)</x:f>
        <x:v>0</x:v>
      </x:c>
      <x:c r="F37" s="91" t="n">
        <x:f>IF(F$4&gt;='Funding inputs'!$B$76,'Funding inputs'!$B$28*(1+'Funding inputs'!$B$64)^(F$4-'Funding inputs'!$B$15),0)</x:f>
        <x:v>0</x:v>
      </x:c>
      <x:c r="G37" s="91" t="n">
        <x:f>IF(G$4&gt;='Funding inputs'!$B$76,'Funding inputs'!$B$28*(1+'Funding inputs'!$B$64)^(G$4-'Funding inputs'!$B$15),0)</x:f>
        <x:v>0</x:v>
      </x:c>
      <x:c r="H37" s="91" t="n">
        <x:f>IF(H$4&gt;='Funding inputs'!$B$76,'Funding inputs'!$B$28*(1+'Funding inputs'!$B$64)^(H$4-'Funding inputs'!$B$15),0)</x:f>
        <x:v>0</x:v>
      </x:c>
      <x:c r="I37" s="91" t="n">
        <x:f>IF(I$4&gt;='Funding inputs'!$B$76,'Funding inputs'!$B$28*(1+'Funding inputs'!$B$64)^(I$4-'Funding inputs'!$B$15),0)</x:f>
        <x:v>0</x:v>
      </x:c>
      <x:c r="J37" s="91" t="n">
        <x:f>IF(J$4&gt;='Funding inputs'!$B$76,'Funding inputs'!$B$28*(1+'Funding inputs'!$B$64)^(J$4-'Funding inputs'!$B$15),0)</x:f>
        <x:v>0</x:v>
      </x:c>
      <x:c r="K37" s="91" t="n">
        <x:f>IF(K$4&gt;='Funding inputs'!$B$76,'Funding inputs'!$B$28*(1+'Funding inputs'!$B$64)^(K$4-'Funding inputs'!$B$15),0)</x:f>
        <x:v>0</x:v>
      </x:c>
      <x:c r="L37" s="91" t="n">
        <x:f>IF(L$4&gt;='Funding inputs'!$B$76,'Funding inputs'!$B$28*(1+'Funding inputs'!$B$64)^(L$4-'Funding inputs'!$B$15),0)</x:f>
        <x:v>0</x:v>
      </x:c>
      <x:c r="M37" s="91" t="n">
        <x:f>IF(M$4&gt;='Funding inputs'!$B$76,'Funding inputs'!$B$28*(1+'Funding inputs'!$B$64)^(M$4-'Funding inputs'!$B$15),0)</x:f>
        <x:v>0</x:v>
      </x:c>
      <x:c r="N37" s="91" t="n">
        <x:f>IF(N$4&gt;='Funding inputs'!$B$76,'Funding inputs'!$B$28*(1+'Funding inputs'!$B$64)^(N$4-'Funding inputs'!$B$15),0)</x:f>
        <x:v>0</x:v>
      </x:c>
      <x:c r="O37" s="91" t="n">
        <x:f>IF(O$4&gt;='Funding inputs'!$B$76,'Funding inputs'!$B$28*(1+'Funding inputs'!$B$64)^(O$4-'Funding inputs'!$B$15),0)</x:f>
        <x:v>0</x:v>
      </x:c>
      <x:c r="P37" s="91" t="n">
        <x:f>IF(P$4&gt;='Funding inputs'!$B$76,'Funding inputs'!$B$28*(1+'Funding inputs'!$B$64)^(P$4-'Funding inputs'!$B$15),0)</x:f>
        <x:v>0</x:v>
      </x:c>
      <x:c r="Q37" s="91" t="n">
        <x:f>IF(Q$4&gt;='Funding inputs'!$B$76,'Funding inputs'!$B$28*(1+'Funding inputs'!$B$64)^(Q$4-'Funding inputs'!$B$15),0)</x:f>
        <x:v>0</x:v>
      </x:c>
      <x:c r="R37" s="91" t="n">
        <x:f>IF(R$4&gt;='Funding inputs'!$B$76,'Funding inputs'!$B$28*(1+'Funding inputs'!$B$64)^(R$4-'Funding inputs'!$B$15),0)</x:f>
        <x:v>0</x:v>
      </x:c>
      <x:c r="S37" s="91" t="n">
        <x:f>IF(S$4&gt;='Funding inputs'!$B$76,'Funding inputs'!$B$28*(1+'Funding inputs'!$B$64)^(S$4-'Funding inputs'!$B$15),0)</x:f>
        <x:v>0</x:v>
      </x:c>
      <x:c r="T37" s="91" t="n">
        <x:f>IF(T$4&gt;='Funding inputs'!$B$76,'Funding inputs'!$B$28*(1+'Funding inputs'!$B$64)^(T$4-'Funding inputs'!$B$15),0)</x:f>
        <x:v>0</x:v>
      </x:c>
      <x:c r="U37" s="91" t="n">
        <x:f>IF(U$4&gt;='Funding inputs'!$B$76,'Funding inputs'!$B$28*(1+'Funding inputs'!$B$64)^(U$4-'Funding inputs'!$B$15),0)</x:f>
        <x:v>0</x:v>
      </x:c>
    </x:row>
    <x:row r="38" ht="25" customHeight="1">
      <x:c r="A38" s="55" t="str">
        <x:v>Unfunded access / growth allowance</x:v>
      </x:c>
      <x:c r="B38" s="69" t="n">
        <x:f>MAX(0,B36-B37)</x:f>
        <x:v>0</x:v>
      </x:c>
      <x:c r="C38" s="69" t="n">
        <x:f>MAX(0,C36-C37)</x:f>
        <x:v>0</x:v>
      </x:c>
      <x:c r="D38" s="69" t="n">
        <x:f>MAX(0,D36-D37)</x:f>
        <x:v>10609000</x:v>
      </x:c>
      <x:c r="E38" s="69" t="n">
        <x:f>MAX(0,E36-E37)</x:f>
        <x:v>10927270</x:v>
      </x:c>
      <x:c r="F38" s="69" t="n">
        <x:f>MAX(0,F36-F37)</x:f>
        <x:v>11255088.100000001</x:v>
      </x:c>
      <x:c r="G38" s="69" t="n">
        <x:f>MAX(0,G36-G37)</x:f>
        <x:v>11592740.743</x:v>
      </x:c>
      <x:c r="H38" s="69" t="n">
        <x:f>MAX(0,H36-H37)</x:f>
        <x:v>11940522.96529</x:v>
      </x:c>
      <x:c r="I38" s="69" t="n">
        <x:f>MAX(0,I36-I37)</x:f>
        <x:v>12298738.654248701</x:v>
      </x:c>
      <x:c r="J38" s="69" t="n">
        <x:f>MAX(0,J36-J37)</x:f>
        <x:v>12667700.813876163</x:v>
      </x:c>
      <x:c r="K38" s="69" t="n">
        <x:f>MAX(0,K36-K37)</x:f>
        <x:v>13047731.83829245</x:v>
      </x:c>
      <x:c r="L38" s="69" t="n">
        <x:f>MAX(0,L36-L37)</x:f>
        <x:v>13439163.793441223</x:v>
      </x:c>
      <x:c r="M38" s="69" t="n">
        <x:f>MAX(0,M36-M37)</x:f>
        <x:v>13842338.70724446</x:v>
      </x:c>
      <x:c r="N38" s="69" t="n">
        <x:f>MAX(0,N36-N37)</x:f>
        <x:v>14257608.868461793</x:v>
      </x:c>
      <x:c r="O38" s="69" t="n">
        <x:f>MAX(0,O36-O37)</x:f>
        <x:v>14685337.134515649</x:v>
      </x:c>
      <x:c r="P38" s="69" t="n">
        <x:f>MAX(0,P36-P37)</x:f>
        <x:v>15125897.24855112</x:v>
      </x:c>
      <x:c r="Q38" s="69" t="n">
        <x:f>MAX(0,Q36-Q37)</x:f>
        <x:v>15579674.166007651</x:v>
      </x:c>
      <x:c r="R38" s="69" t="n">
        <x:f>MAX(0,R36-R37)</x:f>
        <x:v>16047064.390987882</x:v>
      </x:c>
      <x:c r="S38" s="69" t="n">
        <x:f>MAX(0,S36-S37)</x:f>
        <x:v>16528476.322717518</x:v>
      </x:c>
      <x:c r="T38" s="69" t="n">
        <x:f>MAX(0,T36-T37)</x:f>
        <x:v>17024330.612399045</x:v>
      </x:c>
      <x:c r="U38" s="69" t="n">
        <x:f>MAX(0,U36-U37)</x:f>
        <x:v>17535060.530771017</x:v>
      </x:c>
    </x:row>
    <x:row r="39" ht="25" customHeight="1">
      <x:c r="A39" s="56"/>
      <x:c r="B39" s="70"/>
      <x:c r="C39" s="70"/>
      <x:c r="D39" s="70"/>
      <x:c r="E39" s="70"/>
      <x:c r="F39" s="70"/>
      <x:c r="G39" s="70"/>
      <x:c r="H39" s="70"/>
      <x:c r="I39" s="70"/>
      <x:c r="J39" s="70"/>
      <x:c r="K39" s="70"/>
      <x:c r="L39" s="70"/>
      <x:c r="M39" s="70"/>
      <x:c r="N39" s="70"/>
      <x:c r="O39" s="70"/>
      <x:c r="P39" s="70"/>
      <x:c r="Q39" s="70"/>
      <x:c r="R39" s="70"/>
      <x:c r="S39" s="70"/>
      <x:c r="T39" s="70"/>
      <x:c r="U39" s="70"/>
    </x:row>
    <x:row r="40" ht="25" customHeight="1">
      <x:c r="A40" s="103" t="str">
        <x:v>Operating reserve target (stock)</x:v>
      </x:c>
      <x:c r="B40" s="110" t="n">
        <x:f>B8*'Funding inputs'!$B$25/12</x:f>
        <x:v>19956844.555357143</x:v>
      </x:c>
      <x:c r="C40" s="110" t="n">
        <x:f>C8*'Funding inputs'!$B$25/12</x:f>
        <x:v>20854902.560348213</x:v>
      </x:c>
      <x:c r="D40" s="110" t="n">
        <x:f>D8*'Funding inputs'!$B$25/12</x:f>
        <x:v>26403634.087413877</x:v>
      </x:c>
      <x:c r="E40" s="110" t="n">
        <x:f>E8*'Funding inputs'!$B$25/12</x:f>
        <x:v>27591797.621347506</x:v>
      </x:c>
      <x:c r="F40" s="110" t="n">
        <x:f>F8*'Funding inputs'!$B$25/12</x:f>
        <x:v>28833428.51430814</x:v>
      </x:c>
      <x:c r="G40" s="110" t="n">
        <x:f>G8*'Funding inputs'!$B$25/12</x:f>
        <x:v>30130932.797452006</x:v>
      </x:c>
      <x:c r="H40" s="110" t="n">
        <x:f>H8*'Funding inputs'!$B$25/12</x:f>
        <x:v>31486824.773337346</x:v>
      </x:c>
      <x:c r="I40" s="110" t="n">
        <x:f>I8*'Funding inputs'!$B$25/12</x:f>
        <x:v>32903731.88813752</x:v>
      </x:c>
      <x:c r="J40" s="110" t="n">
        <x:f>J8*'Funding inputs'!$B$25/12</x:f>
        <x:v>34384399.8231037</x:v>
      </x:c>
      <x:c r="K40" s="110" t="n">
        <x:f>K8*'Funding inputs'!$B$25/12</x:f>
        <x:v>35931697.81514337</x:v>
      </x:c>
      <x:c r="L40" s="110" t="n">
        <x:f>L8*'Funding inputs'!$B$25/12</x:f>
        <x:v>37548624.216824815</x:v>
      </x:c>
      <x:c r="M40" s="110" t="n">
        <x:f>M8*'Funding inputs'!$B$25/12</x:f>
        <x:v>39238312.30658194</x:v>
      </x:c>
      <x:c r="N40" s="110" t="n">
        <x:f>N8*'Funding inputs'!$B$25/12</x:f>
        <x:v>41004036.36037812</x:v>
      </x:c>
      <x:c r="O40" s="110" t="n">
        <x:f>O8*'Funding inputs'!$B$25/12</x:f>
        <x:v>42849217.99659513</x:v>
      </x:c>
      <x:c r="P40" s="110" t="n">
        <x:f>P8*'Funding inputs'!$B$25/12</x:f>
        <x:v>44777432.80644191</x:v>
      </x:c>
      <x:c r="Q40" s="110" t="n">
        <x:f>Q8*'Funding inputs'!$B$25/12</x:f>
        <x:v>46792417.282731794</x:v>
      </x:c>
      <x:c r="R40" s="110" t="n">
        <x:f>R8*'Funding inputs'!$B$25/12</x:f>
        <x:v>48898076.06045472</x:v>
      </x:c>
      <x:c r="S40" s="110" t="n">
        <x:f>S8*'Funding inputs'!$B$25/12</x:f>
        <x:v>51098489.48317518</x:v>
      </x:c>
      <x:c r="T40" s="110" t="n">
        <x:f>T8*'Funding inputs'!$B$25/12</x:f>
        <x:v>53397921.50991806</x:v>
      </x:c>
      <x:c r="U40" s="110" t="n">
        <x:f>U8*'Funding inputs'!$B$25/12</x:f>
        <x:v>55800827.97786436</x:v>
      </x:c>
    </x:row>
    <x:row r="41" ht="25" customHeight="1">
      <x:c r="A41" s="56" t="str">
        <x:v>Opening modeled operating reserve</x:v>
      </x:c>
      <x:c r="B41" s="91" t="n">
        <x:f>'Funding inputs'!$B$26</x:f>
        <x:v>0</x:v>
      </x:c>
      <x:c r="C41" s="70" t="n">
        <x:f>B43</x:f>
        <x:v>0</x:v>
      </x:c>
      <x:c r="D41" s="70" t="n">
        <x:f>C43</x:f>
        <x:v>0</x:v>
      </x:c>
      <x:c r="E41" s="70" t="n">
        <x:f>D43</x:f>
        <x:v>3098879.20545806</x:v>
      </x:c>
      <x:c r="F41" s="70" t="n">
        <x:f>E43</x:f>
        <x:v>5066874.991835013</x:v>
      </x:c>
      <x:c r="G41" s="70" t="n">
        <x:f>F43</x:f>
        <x:v>5814987.615772441</x:v>
      </x:c>
      <x:c r="H41" s="70" t="n">
        <x:f>G43</x:f>
        <x:v>22134639.611056745</x:v>
      </x:c>
      <x:c r="I41" s="70" t="n">
        <x:f>H43</x:f>
        <x:v>39188675.94612886</x:v>
      </x:c>
      <x:c r="J41" s="70" t="n">
        <x:f>I43</x:f>
        <x:v>57010143.91627921</x:v>
      </x:c>
      <x:c r="K41" s="70" t="n">
        <x:f>J43</x:f>
        <x:v>75633577.94508635</x:v>
      </x:c>
      <x:c r="L41" s="70" t="n">
        <x:f>K43</x:f>
        <x:v>95095066.50518979</x:v>
      </x:c>
      <x:c r="M41" s="70" t="n">
        <x:f>L43</x:f>
        <x:v>115432322.0504979</x:v>
      </x:c>
      <x:c r="N41" s="70" t="n">
        <x:f>M43</x:f>
        <x:v>136684754.09534484</x:v>
      </x:c>
      <x:c r="O41" s="70" t="n">
        <x:f>N43</x:f>
        <x:v>158893545.58220991</x:v>
      </x:c>
      <x:c r="P41" s="70" t="n">
        <x:f>O43</x:f>
        <x:v>182101732.6859839</x:v>
      </x:c>
      <x:c r="Q41" s="70" t="n">
        <x:f>P43</x:f>
        <x:v>206354288.20942768</x:v>
      </x:c>
      <x:c r="R41" s="70" t="n">
        <x:f>Q43</x:f>
        <x:v>231698208.73142648</x:v>
      </x:c>
      <x:c r="S41" s="70" t="n">
        <x:f>R43</x:f>
        <x:v>258182605.67691523</x:v>
      </x:c>
      <x:c r="T41" s="70" t="n">
        <x:f>S43</x:f>
        <x:v>285858800.48495096</x:v>
      </x:c>
      <x:c r="U41" s="70" t="n">
        <x:f>T43</x:f>
        <x:v>314780424.0593483</x:v>
      </x:c>
    </x:row>
    <x:row r="42" ht="25" customHeight="1">
      <x:c r="A42" s="55" t="str">
        <x:v>Operating surplus deposited</x:v>
      </x:c>
      <x:c r="B42" s="69" t="n">
        <x:f>MAX(0,-B14)</x:f>
        <x:v>0</x:v>
      </x:c>
      <x:c r="C42" s="69" t="n">
        <x:f>MAX(0,-C14)</x:f>
        <x:v>0</x:v>
      </x:c>
      <x:c r="D42" s="69" t="n">
        <x:f>MAX(0,-D14)</x:f>
        <x:v>3098879.20545806</x:v>
      </x:c>
      <x:c r="E42" s="69" t="n">
        <x:f>MAX(0,-E14)</x:f>
        <x:v>1967995.7863769531</x:v>
      </x:c>
      <x:c r="F42" s="69" t="n">
        <x:f>MAX(0,-F14)</x:f>
        <x:v>748112.623937428</x:v>
      </x:c>
      <x:c r="G42" s="69" t="n">
        <x:f>MAX(0,-G14)</x:f>
        <x:v>16319651.995284304</x:v>
      </x:c>
      <x:c r="H42" s="69" t="n">
        <x:f>MAX(0,-H14)</x:f>
        <x:v>17054036.335072115</x:v>
      </x:c>
      <x:c r="I42" s="69" t="n">
        <x:f>MAX(0,-I14)</x:f>
        <x:v>17821467.97015035</x:v>
      </x:c>
      <x:c r="J42" s="69" t="n">
        <x:f>MAX(0,-J14)</x:f>
        <x:v>18623434.028807133</x:v>
      </x:c>
      <x:c r="K42" s="69" t="n">
        <x:f>MAX(0,-K14)</x:f>
        <x:v>19461488.560103446</x:v>
      </x:c>
      <x:c r="L42" s="69" t="n">
        <x:f>MAX(0,-L14)</x:f>
        <x:v>20337255.545308113</x:v>
      </x:c>
      <x:c r="M42" s="69" t="n">
        <x:f>MAX(0,-M14)</x:f>
        <x:v>21252432.044846952</x:v>
      </x:c>
      <x:c r="N42" s="69" t="n">
        <x:f>MAX(0,-N14)</x:f>
        <x:v>22208791.486865073</x:v>
      </x:c>
      <x:c r="O42" s="69" t="n">
        <x:f>MAX(0,-O14)</x:f>
        <x:v>23208187.10377398</x:v>
      </x:c>
      <x:c r="P42" s="69" t="n">
        <x:f>MAX(0,-P14)</x:f>
        <x:v>24252555.52344379</x:v>
      </x:c>
      <x:c r="Q42" s="69" t="n">
        <x:f>MAX(0,-Q14)</x:f>
        <x:v>25343920.521998793</x:v>
      </x:c>
      <x:c r="R42" s="69" t="n">
        <x:f>MAX(0,-R14)</x:f>
        <x:v>26484396.94548875</x:v>
      </x:c>
      <x:c r="S42" s="69" t="n">
        <x:f>MAX(0,-S14)</x:f>
        <x:v>27676194.80803573</x:v>
      </x:c>
      <x:c r="T42" s="69" t="n">
        <x:f>MAX(0,-T14)</x:f>
        <x:v>28921623.574397326</x:v>
      </x:c>
      <x:c r="U42" s="69" t="n">
        <x:f>MAX(0,-U14)</x:f>
        <x:v>30223096.635245234</x:v>
      </x:c>
    </x:row>
    <x:row r="43" ht="25" customHeight="1">
      <x:c r="A43" s="56" t="str">
        <x:v>Closing modeled operating reserve</x:v>
      </x:c>
      <x:c r="B43" s="70" t="n">
        <x:f>SUM(B41:B42)</x:f>
        <x:v>0</x:v>
      </x:c>
      <x:c r="C43" s="70" t="n">
        <x:f>SUM(C41:C42)</x:f>
        <x:v>0</x:v>
      </x:c>
      <x:c r="D43" s="70" t="n">
        <x:f>SUM(D41:D42)</x:f>
        <x:v>3098879.20545806</x:v>
      </x:c>
      <x:c r="E43" s="70" t="n">
        <x:f>SUM(E41:E42)</x:f>
        <x:v>5066874.991835013</x:v>
      </x:c>
      <x:c r="F43" s="70" t="n">
        <x:f>SUM(F41:F42)</x:f>
        <x:v>5814987.615772441</x:v>
      </x:c>
      <x:c r="G43" s="70" t="n">
        <x:f>SUM(G41:G42)</x:f>
        <x:v>22134639.611056745</x:v>
      </x:c>
      <x:c r="H43" s="70" t="n">
        <x:f>SUM(H41:H42)</x:f>
        <x:v>39188675.94612886</x:v>
      </x:c>
      <x:c r="I43" s="70" t="n">
        <x:f>SUM(I41:I42)</x:f>
        <x:v>57010143.91627921</x:v>
      </x:c>
      <x:c r="J43" s="70" t="n">
        <x:f>SUM(J41:J42)</x:f>
        <x:v>75633577.94508635</x:v>
      </x:c>
      <x:c r="K43" s="70" t="n">
        <x:f>SUM(K41:K42)</x:f>
        <x:v>95095066.50518979</x:v>
      </x:c>
      <x:c r="L43" s="70" t="n">
        <x:f>SUM(L41:L42)</x:f>
        <x:v>115432322.0504979</x:v>
      </x:c>
      <x:c r="M43" s="70" t="n">
        <x:f>SUM(M41:M42)</x:f>
        <x:v>136684754.09534484</x:v>
      </x:c>
      <x:c r="N43" s="70" t="n">
        <x:f>SUM(N41:N42)</x:f>
        <x:v>158893545.58220991</x:v>
      </x:c>
      <x:c r="O43" s="70" t="n">
        <x:f>SUM(O41:O42)</x:f>
        <x:v>182101732.6859839</x:v>
      </x:c>
      <x:c r="P43" s="70" t="n">
        <x:f>SUM(P41:P42)</x:f>
        <x:v>206354288.20942768</x:v>
      </x:c>
      <x:c r="Q43" s="70" t="n">
        <x:f>SUM(Q41:Q42)</x:f>
        <x:v>231698208.73142648</x:v>
      </x:c>
      <x:c r="R43" s="70" t="n">
        <x:f>SUM(R41:R42)</x:f>
        <x:v>258182605.67691523</x:v>
      </x:c>
      <x:c r="S43" s="70" t="n">
        <x:f>SUM(S41:S42)</x:f>
        <x:v>285858800.48495096</x:v>
      </x:c>
      <x:c r="T43" s="70" t="n">
        <x:f>SUM(T41:T42)</x:f>
        <x:v>314780424.0593483</x:v>
      </x:c>
      <x:c r="U43" s="70" t="n">
        <x:f>SUM(U41:U42)</x:f>
        <x:v>345003520.69459355</x:v>
      </x:c>
    </x:row>
    <x:row r="44" ht="25" customHeight="1">
      <x:c r="A44" s="107" t="str">
        <x:v>Reserve shortfall to target</x:v>
      </x:c>
      <x:c r="B44" s="108" t="n">
        <x:f>MAX(0,B40-B43)</x:f>
        <x:v>19956844.555357143</x:v>
      </x:c>
      <x:c r="C44" s="108" t="n">
        <x:f>MAX(0,C40-C43)</x:f>
        <x:v>20854902.560348213</x:v>
      </x:c>
      <x:c r="D44" s="108" t="n">
        <x:f>MAX(0,D40-D43)</x:f>
        <x:v>23304754.881955817</x:v>
      </x:c>
      <x:c r="E44" s="108" t="n">
        <x:f>MAX(0,E40-E43)</x:f>
        <x:v>22524922.629512493</x:v>
      </x:c>
      <x:c r="F44" s="108" t="n">
        <x:f>MAX(0,F40-F43)</x:f>
        <x:v>23018440.8985357</x:v>
      </x:c>
      <x:c r="G44" s="108" t="n">
        <x:f>MAX(0,G40-G43)</x:f>
        <x:v>7996293.186395261</x:v>
      </x:c>
      <x:c r="H44" s="108" t="n">
        <x:f>MAX(0,H40-H43)</x:f>
        <x:v>0</x:v>
      </x:c>
      <x:c r="I44" s="108" t="n">
        <x:f>MAX(0,I40-I43)</x:f>
        <x:v>0</x:v>
      </x:c>
      <x:c r="J44" s="108" t="n">
        <x:f>MAX(0,J40-J43)</x:f>
        <x:v>0</x:v>
      </x:c>
      <x:c r="K44" s="108" t="n">
        <x:f>MAX(0,K40-K43)</x:f>
        <x:v>0</x:v>
      </x:c>
      <x:c r="L44" s="108" t="n">
        <x:f>MAX(0,L40-L43)</x:f>
        <x:v>0</x:v>
      </x:c>
      <x:c r="M44" s="108" t="n">
        <x:f>MAX(0,M40-M43)</x:f>
        <x:v>0</x:v>
      </x:c>
      <x:c r="N44" s="108" t="n">
        <x:f>MAX(0,N40-N43)</x:f>
        <x:v>0</x:v>
      </x:c>
      <x:c r="O44" s="108" t="n">
        <x:f>MAX(0,O40-O43)</x:f>
        <x:v>0</x:v>
      </x:c>
      <x:c r="P44" s="108" t="n">
        <x:f>MAX(0,P40-P43)</x:f>
        <x:v>0</x:v>
      </x:c>
      <x:c r="Q44" s="108" t="n">
        <x:f>MAX(0,Q40-Q43)</x:f>
        <x:v>0</x:v>
      </x:c>
      <x:c r="R44" s="108" t="n">
        <x:f>MAX(0,R40-R43)</x:f>
        <x:v>0</x:v>
      </x:c>
      <x:c r="S44" s="108" t="n">
        <x:f>MAX(0,S40-S43)</x:f>
        <x:v>0</x:v>
      </x:c>
      <x:c r="T44" s="108" t="n">
        <x:f>MAX(0,T40-T43)</x:f>
        <x:v>0</x:v>
      </x:c>
      <x:c r="U44" s="108" t="n">
        <x:f>MAX(0,U40-U43)</x:f>
        <x:v>0</x:v>
      </x:c>
    </x:row>
    <x:row r="45" ht="25" customHeight="1">
      <x:c r="A45" s="56"/>
      <x:c r="B45" s="70"/>
      <x:c r="C45" s="70"/>
      <x:c r="D45" s="70"/>
      <x:c r="E45" s="70"/>
      <x:c r="F45" s="70"/>
      <x:c r="G45" s="70"/>
      <x:c r="H45" s="70"/>
      <x:c r="I45" s="70"/>
      <x:c r="J45" s="70"/>
      <x:c r="K45" s="70"/>
      <x:c r="L45" s="70"/>
      <x:c r="M45" s="70"/>
      <x:c r="N45" s="70"/>
      <x:c r="O45" s="70"/>
      <x:c r="P45" s="70"/>
      <x:c r="Q45" s="70"/>
      <x:c r="R45" s="70"/>
      <x:c r="S45" s="70"/>
      <x:c r="T45" s="70"/>
      <x:c r="U45" s="70"/>
    </x:row>
    <x:row r="46" ht="25" customHeight="1">
      <x:c r="A46" s="107" t="str">
        <x:v>Unfunded annual requirements before reserves</x:v>
      </x:c>
      <x:c r="B46" s="108" t="n">
        <x:f>MAX(0,B14)+MAX(0,B20)+B26+B34+B38</x:f>
        <x:v>60619411.2214286</x:v>
      </x:c>
      <x:c r="C46" s="108" t="n">
        <x:f>MAX(0,C14)+MAX(0,C20)+C26+C34+C38</x:f>
        <x:v>63635404.231392875</x:v>
      </x:c>
      <x:c r="D46" s="108" t="n">
        <x:f>MAX(0,D14)+MAX(0,D20)+D26+D34+D38</x:f>
        <x:v>12109000</x:v>
      </x:c>
      <x:c r="E46" s="108" t="n">
        <x:f>MAX(0,E14)+MAX(0,E20)+E26+E34+E38</x:f>
        <x:v>12427270</x:v>
      </x:c>
      <x:c r="F46" s="108" t="n">
        <x:f>MAX(0,F14)+MAX(0,F20)+F26+F34+F38</x:f>
        <x:v>11255088.100000001</x:v>
      </x:c>
      <x:c r="G46" s="108" t="n">
        <x:f>MAX(0,G14)+MAX(0,G20)+G26+G34+G38</x:f>
        <x:v>11592740.743</x:v>
      </x:c>
      <x:c r="H46" s="108" t="n">
        <x:f>MAX(0,H14)+MAX(0,H20)+H26+H34+H38</x:f>
        <x:v>11940522.965290016</x:v>
      </x:c>
      <x:c r="I46" s="108" t="n">
        <x:f>MAX(0,I14)+MAX(0,I20)+I26+I34+I38</x:f>
        <x:v>12298738.654248701</x:v>
      </x:c>
      <x:c r="J46" s="108" t="n">
        <x:f>MAX(0,J14)+MAX(0,J20)+J26+J34+J38</x:f>
        <x:v>12667700.813876163</x:v>
      </x:c>
      <x:c r="K46" s="108" t="n">
        <x:f>MAX(0,K14)+MAX(0,K20)+K26+K34+K38</x:f>
        <x:v>13047731.83829245</x:v>
      </x:c>
      <x:c r="L46" s="108" t="n">
        <x:f>MAX(0,L14)+MAX(0,L20)+L26+L34+L38</x:f>
        <x:v>13439163.793441223</x:v>
      </x:c>
      <x:c r="M46" s="108" t="n">
        <x:f>MAX(0,M14)+MAX(0,M20)+M26+M34+M38</x:f>
        <x:v>13842338.707244474</x:v>
      </x:c>
      <x:c r="N46" s="108" t="n">
        <x:f>MAX(0,N14)+MAX(0,N20)+N26+N34+N38</x:f>
        <x:v>14257608.868461793</x:v>
      </x:c>
      <x:c r="O46" s="108" t="n">
        <x:f>MAX(0,O14)+MAX(0,O20)+O26+O34+O38</x:f>
        <x:v>14685337.134515649</x:v>
      </x:c>
      <x:c r="P46" s="108" t="n">
        <x:f>MAX(0,P14)+MAX(0,P20)+P26+P34+P38</x:f>
        <x:v>15125897.24855112</x:v>
      </x:c>
      <x:c r="Q46" s="108" t="n">
        <x:f>MAX(0,Q14)+MAX(0,Q20)+Q26+Q34+Q38</x:f>
        <x:v>15579674.166007651</x:v>
      </x:c>
      <x:c r="R46" s="108" t="n">
        <x:f>MAX(0,R14)+MAX(0,R20)+R26+R34+R38</x:f>
        <x:v>16047064.390987912</x:v>
      </x:c>
      <x:c r="S46" s="108" t="n">
        <x:f>MAX(0,S14)+MAX(0,S20)+S26+S34+S38</x:f>
        <x:v>16528476.322717518</x:v>
      </x:c>
      <x:c r="T46" s="108" t="n">
        <x:f>MAX(0,T14)+MAX(0,T20)+T26+T34+T38</x:f>
        <x:v>17024330.612399045</x:v>
      </x:c>
      <x:c r="U46" s="108" t="n">
        <x:f>MAX(0,U14)+MAX(0,U20)+U26+U34+U38</x:f>
        <x:v>17535060.530771017</x:v>
      </x:c>
    </x:row>
    <x:row r="48">
      <x:c r="A48" t="str">
        <x:v>Selected case</x:v>
      </x:c>
      <x:c r="B48" s="95" t="str">
        <x:f>'Funding inputs'!B6</x:f>
        <x:v>Service target proposal</x:v>
      </x:c>
    </x:row>
    <x:row r="50">
      <x:c r="A50" t="str">
        <x:v>Interpretation</x:v>
      </x:c>
      <x:c r="B50" s="100" t="str">
        <x:v>Positive shortfalls are unfinanced requirements, not authorized deficit spending. Surpluses in restricted renewal funds do not automatically cover operating deficits. Bond tax receipts in row 28 are a proposed repayment requirement, not an existing appropriation.</x:v>
      </x:c>
      <x:c r="C50" s="100"/>
      <x:c r="D50" s="100"/>
      <x:c r="E50" s="100"/>
      <x:c r="F50" s="100"/>
      <x:c r="G50" s="100"/>
      <x:c r="H50" s="100"/>
      <x:c r="I50" s="100"/>
      <x:c r="J50" s="100"/>
    </x:row>
    <x:row r="51">
      <x:c r="B51" s="100"/>
      <x:c r="C51" s="100"/>
      <x:c r="D51" s="100"/>
      <x:c r="E51" s="100"/>
      <x:c r="F51" s="100"/>
      <x:c r="G51" s="100"/>
      <x:c r="H51" s="100"/>
      <x:c r="I51" s="100"/>
      <x:c r="J51" s="100"/>
    </x:row>
    <x:row r="52">
      <x:c r="A52" t="str">
        <x:v>Scope limitation</x:v>
      </x:c>
      <x:c r="B52" s="100" t="str">
        <x:v>Remaining operations, fees, PCEF, grants and enterprise funding need a fund-by-program operating forecast. No savings or new grants booked. Reserve balances here represent only modeled surpluses: no borrowing, restricted cash or City carryover is silently transferred. Staffing quantities remain unvalidated; capital staff costs are inside the capital envelope.</x:v>
      </x:c>
      <x:c r="C52" s="100"/>
      <x:c r="D52" s="100"/>
      <x:c r="E52" s="100"/>
      <x:c r="F52" s="100"/>
      <x:c r="G52" s="100"/>
      <x:c r="H52" s="100"/>
      <x:c r="I52" s="100"/>
      <x:c r="J52" s="100"/>
    </x:row>
    <x:row r="53">
      <x:c r="B53" s="100"/>
      <x:c r="C53" s="100"/>
      <x:c r="D53" s="100"/>
      <x:c r="E53" s="100"/>
      <x:c r="F53" s="100"/>
      <x:c r="G53" s="100"/>
      <x:c r="H53" s="100"/>
      <x:c r="I53" s="100"/>
      <x:c r="J53" s="100"/>
    </x:row>
    <x:row r="54">
      <x:c r="B54" s="100"/>
      <x:c r="C54" s="100"/>
      <x:c r="D54" s="100"/>
      <x:c r="E54" s="100"/>
      <x:c r="F54" s="100"/>
      <x:c r="G54" s="100"/>
      <x:c r="H54" s="100"/>
      <x:c r="I54" s="100"/>
      <x:c r="J54" s="100"/>
    </x:row>
    <x:row r="57" ht="36" customHeight="1">
      <x:c r="A57" s="6" t="str">
        <x:v>Annual need at full target, 2026 dollars</x:v>
      </x:c>
      <x:c r="B57" s="6" t="str">
        <x:v>Amount</x:v>
      </x:c>
      <x:c r="C57" s="6" t="str">
        <x:v>Meaning</x:v>
      </x:c>
    </x:row>
    <x:row r="58" ht="35" customHeight="1">
      <x:c r="A58" s="56" t="str">
        <x:v>Modeled additional operations</x:v>
      </x:c>
      <x:c r="B58" s="91" t="n">
        <x:f>Staffing!F13-Staffing!E13</x:f>
        <x:v>16887016</x:v>
      </x:c>
      <x:c r="C58" s="76" t="str">
        <x:v>Provisional service redesign; existing adopted operating funding assumed preserved.</x:v>
      </x:c>
      <x:c r="D58" s="100"/>
      <x:c r="E58" s="100"/>
      <x:c r="F58" s="100"/>
      <x:c r="G58" s="100"/>
      <x:c r="H58" s="100"/>
    </x:row>
    <x:row r="59" ht="35" customHeight="1">
      <x:c r="A59" s="55" t="str">
        <x:v>Annual steady-state renewal</x:v>
      </x:c>
      <x:c r="B59" s="78" t="n">
        <x:f>Capital!D13</x:f>
        <x:v>67367456.00000001</x:v>
      </x:c>
      <x:c r="C59" s="58" t="str">
        <x:v>Class-based renewal provision.</x:v>
      </x:c>
      <x:c r="D59" s="100"/>
      <x:c r="E59" s="100"/>
      <x:c r="F59" s="100"/>
      <x:c r="G59" s="100"/>
      <x:c r="H59" s="100"/>
    </x:row>
    <x:row r="60" ht="35" customHeight="1">
      <x:c r="A60" s="56" t="str">
        <x:v>Existing GF capital benchmark</x:v>
      </x:c>
      <x:c r="B60" s="91" t="n">
        <x:f>'Funding inputs'!$B$14</x:f>
        <x:v>5000000</x:v>
      </x:c>
      <x:c r="C60" s="76" t="str">
        <x:v>Approximate benchmark pending recurring-ledger verification.</x:v>
      </x:c>
      <x:c r="D60" s="100"/>
      <x:c r="E60" s="100"/>
      <x:c r="F60" s="100"/>
      <x:c r="G60" s="100"/>
      <x:c r="H60" s="100"/>
    </x:row>
    <x:row r="61" ht="35" customHeight="1">
      <x:c r="A61" s="55" t="str">
        <x:v>Current levy capital share</x:v>
      </x:c>
      <x:c r="B61" s="78" t="n">
        <x:f>'Funding inputs'!$B$10*(1-'Funding inputs'!$B$11/'Funding inputs'!$B$12)</x:f>
        <x:v>1748044.7785714134</x:v>
      </x:c>
      <x:c r="C61" s="58" t="str">
        <x:v>Analytical share of adopted tax budget, ends June 2031.</x:v>
      </x:c>
      <x:c r="D61" s="100"/>
      <x:c r="E61" s="100"/>
      <x:c r="F61" s="100"/>
      <x:c r="G61" s="100"/>
      <x:c r="H61" s="100"/>
    </x:row>
    <x:row r="62" ht="35" customHeight="1">
      <x:c r="A62" s="56" t="str">
        <x:v>New renewal funding requirement</x:v>
      </x:c>
      <x:c r="B62" s="70" t="n">
        <x:f>MAX(0,B59-B60-B61)</x:f>
        <x:v>60619411.2214286</x:v>
      </x:c>
      <x:c r="C62" s="76" t="str">
        <x:v>Recurring new cash need; bonds below finance different backlog work.</x:v>
      </x:c>
      <x:c r="D62" s="100"/>
      <x:c r="E62" s="100"/>
      <x:c r="F62" s="100"/>
      <x:c r="G62" s="100"/>
      <x:c r="H62" s="100"/>
    </x:row>
    <x:row r="63" ht="35" customHeight="1">
      <x:c r="A63" s="55" t="str">
        <x:v>Backlog annual cash requirement</x:v>
      </x:c>
      <x:c r="B63" s="78" t="n">
        <x:f>Capital!D19</x:f>
        <x:v>50600000</x:v>
      </x:c>
      <x:c r="C63" s="58" t="str">
        <x:v>15-year allocation, no overlap credit; not a verified project schedule.</x:v>
      </x:c>
      <x:c r="D63" s="100"/>
      <x:c r="E63" s="100"/>
      <x:c r="F63" s="100"/>
      <x:c r="G63" s="100"/>
      <x:c r="H63" s="100"/>
    </x:row>
    <x:row r="64" ht="35" customHeight="1">
      <x:c r="A64" s="56" t="str">
        <x:v>Total additional annual cash requirement</x:v>
      </x:c>
      <x:c r="B64" s="70" t="n">
        <x:f>B58+B62+B63</x:f>
        <x:v>128106427.2214286</x:v>
      </x:c>
      <x:c r="C64" s="76" t="str">
        <x:v>Excludes growth, transition, reserve buildup and financing costs. NOT the $32m old appropriation comparison.</x:v>
      </x:c>
      <x:c r="D64" s="100"/>
      <x:c r="E64" s="100"/>
      <x:c r="F64" s="100"/>
      <x:c r="G64" s="100"/>
      <x:c r="H64" s="100"/>
    </x:row>
    <x:row r="65" ht="35" customHeight="1">
      <x:c r="A65" s="55" t="str">
        <x:v>Separate growth / access allowance</x:v>
      </x:c>
      <x:c r="B65" s="78" t="n">
        <x:f>Capital!D20</x:f>
        <x:v>10000000</x:v>
      </x:c>
      <x:c r="C65" s="58" t="str">
        <x:v>Not all ADA work is growth or SDC-eligible.</x:v>
      </x:c>
      <x:c r="D65" s="100"/>
      <x:c r="E65" s="100"/>
      <x:c r="F65" s="100"/>
      <x:c r="G65" s="100"/>
      <x:c r="H65" s="100"/>
    </x:row>
    <x:row r="66" ht="35" customHeight="1">
      <x:c r="A66" s="56" t="str">
        <x:v>Transition one-time requirement</x:v>
      </x:c>
      <x:c r="B66" s="91" t="n">
        <x:f>Capital!D25</x:f>
        <x:v>3000000</x:v>
      </x:c>
      <x:c r="C66" s="76" t="str">
        <x:v>No source committed.</x:v>
      </x:c>
      <x:c r="D66" s="100"/>
      <x:c r="E66" s="100"/>
      <x:c r="F66" s="100"/>
      <x:c r="G66" s="100"/>
      <x:c r="H66" s="100"/>
    </x:row>
    <x:row r="67" ht="35" customHeight="1">
      <x:c r="A67" s="55" t="str">
        <x:v>Other adopted operations outside forecast</x:v>
      </x:c>
      <x:c r="B67" s="78" t="n">
        <x:f>Staffing!E13-'Funding inputs'!$B$10*'Funding inputs'!$B$11/'Funding inputs'!$B$12</x:f>
        <x:v>160352736.77857143</x:v>
      </x:c>
      <x:c r="C67" s="58" t="str">
        <x:v>$160m scope is outside the levy-block forecast, not verified future recurring receipts.</x:v>
      </x:c>
      <x:c r="D67" s="100"/>
      <x:c r="E67" s="100"/>
      <x:c r="F67" s="100"/>
      <x:c r="G67" s="100"/>
      <x:c r="H67" s="100"/>
    </x:row>
    <x:row r="68" ht="35" customHeight="1">
      <x:c r="A68" s="56" t="str">
        <x:v>Original v1 capital plan, retained reference</x:v>
      </x:c>
      <x:c r="B68" s="70" t="n">
        <x:f>67367456+(747168027/15)*(1-25%)+10000000</x:f>
        <x:v>114725857.35</x:v>
      </x:c>
      <x:c r="C68" s="76" t="str">
        <x:v>Historical model formula for review only; uses old backlog and unsupported overlap.</x:v>
      </x:c>
      <x:c r="D68" s="100"/>
      <x:c r="E68" s="100"/>
      <x:c r="F68" s="100"/>
      <x:c r="G68" s="100"/>
      <x:c r="H68" s="100"/>
    </x:row>
    <x:row r="69" ht="35" customHeight="1">
      <x:c r="A69" s="55" t="str">
        <x:v>Original v1 incremental cash funding bridge</x:v>
      </x:c>
      <x:c r="B69" s="69" t="n">
        <x:f>B58+B68-B65-B60-B61</x:f>
        <x:v>114864828.57142858</x:v>
      </x:c>
      <x:c r="C69" s="58" t="str">
        <x:v>Shows why even the original assumptions needed about $115m additional annual cash, subject to preserved operations.</x:v>
      </x:c>
      <x:c r="D69" s="100"/>
      <x:c r="E69" s="100"/>
      <x:c r="F69" s="100"/>
      <x:c r="G69" s="100"/>
      <x:c r="H69" s="100"/>
    </x:row>
    <x:row r="70" ht="35" customHeight="1">
      <x:c r="A70" s="56" t="str">
        <x:v>Quoted repo plan annual arithmetic</x:v>
      </x:c>
      <x:c r="B70" s="91" t="n">
        <x:f>'Funding inputs'!$B$34/10+'Funding inputs'!$B$35</x:f>
        <x:v>145000000</x:v>
      </x:c>
      <x:c r="C70" s="76" t="str">
        <x:v>Alternative $145m/year; user-provided scope not verified. Do not add to this model.</x:v>
      </x:c>
      <x:c r="D70" s="100"/>
      <x:c r="E70" s="100"/>
      <x:c r="F70" s="100"/>
      <x:c r="G70" s="100"/>
      <x:c r="H70" s="100"/>
    </x:row>
    <x:row r="71" ht="25" customHeight="1">
      <x:c r="A71" s="55"/>
      <x:c r="B71" s="55"/>
      <x:c r="C71" s="55"/>
    </x:row>
    <x:row r="85">
      <x:c r="A85" t="str">
        <x:v>Selected case</x:v>
      </x:c>
      <x:c r="B85" s="95" t="str">
        <x:f>'Funding inputs'!B6</x:f>
        <x:v>Service target proposal</x:v>
      </x:c>
    </x:row>
  </x:sheetData>
  <x:mergeCells>
    <x:mergeCell ref="B48:D48"/>
    <x:mergeCell ref="B50:J51"/>
    <x:mergeCell ref="B52:J54"/>
    <x:mergeCell ref="C58:H58"/>
    <x:mergeCell ref="C59:H59"/>
    <x:mergeCell ref="C60:H60"/>
    <x:mergeCell ref="C61:H61"/>
    <x:mergeCell ref="C62:H62"/>
    <x:mergeCell ref="C63:H63"/>
    <x:mergeCell ref="C64:H64"/>
    <x:mergeCell ref="C65:H65"/>
    <x:mergeCell ref="C66:H66"/>
    <x:mergeCell ref="C67:H67"/>
    <x:mergeCell ref="C68:H68"/>
    <x:mergeCell ref="C69:H69"/>
    <x:mergeCell ref="C70:H70"/>
    <x:mergeCell ref="B85:D85"/>
    <x:mergeCell ref="A2:H2"/>
  </x:mergeCells>
  <x:pageMargins left="0.7" right="0.7" top="0.75" bottom="0.75" header="0.3" footer="0.3"/>
</x:worksheet>
</file>

<file path=xl/worksheets/sheet15.xml><?xml version="1.0" encoding="utf-8"?>
<x:worksheet xmlns:x="http://schemas.openxmlformats.org/spreadsheetml/2006/main">
  <x:sheetPr>
    <x:tabColor rgb="FF173E38"/>
  </x:sheetPr>
  <x:sheetViews>
    <x:sheetView showGridLines="0" workbookViewId="0">
      <x:pane ySplit="4" topLeftCell="A5" activePane="bottomLeft" state="frozen"/>
    </x:sheetView>
  </x:sheetViews>
  <x:sheetFormatPr defaultRowHeight="15"/>
  <x:cols>
    <x:col min="1" max="1" width="18" hidden="0" customWidth="1"/>
    <x:col min="2" max="2" width="26" hidden="0" customWidth="1"/>
    <x:col min="3" max="3" width="26" hidden="0" customWidth="1"/>
    <x:col min="4" max="4" width="26" hidden="0" customWidth="1"/>
    <x:col min="5" max="5" width="24" hidden="0" customWidth="1"/>
    <x:col min="6" max="6" width="23" hidden="0" customWidth="1"/>
    <x:col min="7" max="7" width="23" hidden="0" customWidth="1"/>
    <x:col min="8" max="8" width="23" hidden="0" customWidth="1"/>
    <x:col min="9" max="9" width="23" hidden="0" customWidth="1"/>
    <x:col min="10" max="10" width="23" hidden="0" customWidth="1"/>
    <x:col min="11" max="11" width="23" hidden="0" customWidth="1"/>
    <x:col min="12" max="12" width="23" hidden="0" customWidth="1"/>
    <x:col min="13" max="13" width="23" hidden="0" customWidth="1"/>
  </x:cols>
  <x:sheetData>
    <x:row r="1" ht="34" customHeight="1">
      <x:c r="A1" s="54" t="str">
        <x:v>Bond financing</x:v>
      </x:c>
    </x:row>
    <x:row r="2" ht="62" customHeight="1">
      <x:c r="A2" s="3" t="str">
        <x:v>Illustrative staged financing for the $759m reported backlog, escalated to construction years. No overlap deduction. Three five-year issues; all years of debt service shown. Approval, scope and capacity remain unverified.</x:v>
      </x:c>
      <x:c r="B2" s="3"/>
      <x:c r="C2" s="3"/>
      <x:c r="D2" s="3"/>
      <x:c r="E2" s="3"/>
      <x:c r="F2" s="3"/>
      <x:c r="G2" s="3"/>
      <x:c r="H2" s="3"/>
      <x:c r="I2" s="3"/>
      <x:c r="J2" s="3"/>
      <x:c r="K2" s="3"/>
      <x:c r="L2" s="3"/>
      <x:c r="M2" s="3"/>
    </x:row>
    <x:row r="4" ht="36" customHeight="1">
      <x:c r="A4" s="6" t="str">
        <x:v>Issue fiscal start</x:v>
      </x:c>
      <x:c r="B4" s="6" t="str">
        <x:v>Planned net project cash</x:v>
      </x:c>
      <x:c r="C4" s="6" t="str">
        <x:v>Gross principal issued</x:v>
      </x:c>
      <x:c r="D4" s="6" t="str">
        <x:v>Net project proceeds</x:v>
      </x:c>
      <x:c r="E4" s="6" t="str">
        <x:v>Annual debt payment</x:v>
      </x:c>
      <x:c r="F4" s="6" t="str">
        <x:v>Term, years</x:v>
      </x:c>
      <x:c r="G4" s="6" t="str">
        <x:v>Last payment start year</x:v>
      </x:c>
    </x:row>
    <x:row r="5" ht="25" customHeight="1">
      <x:c r="A5" s="87" t="n">
        <x:f>'Funding inputs'!$B$17+0</x:f>
        <x:v>2028</x:v>
      </x:c>
      <x:c r="B5" s="70" t="n">
        <x:f>SUMIFS($D$17:$D$56,$A$17:$A$56,"&gt;="&amp;A5,$A$17:$A$56,"&lt;"&amp;(A5+5))</x:f>
        <x:v>285002586.3499474</x:v>
      </x:c>
      <x:c r="C5" s="91" t="n">
        <x:f>B5/(1-'Funding inputs'!$B$21)*'Funding inputs'!$B$72</x:f>
        <x:v>290818965.66321164</x:v>
      </x:c>
      <x:c r="D5" s="91" t="n">
        <x:f>C5*(1-'Funding inputs'!$B$21)</x:f>
        <x:v>285002586.3499474</x:v>
      </x:c>
      <x:c r="E5" s="91" t="n">
        <x:f>IF('Funding inputs'!$B$20=0,C5/F5,C5*'Funding inputs'!$B$20/(1-(1+'Funding inputs'!$B$20)^(-F5)))</x:f>
        <x:v>23336066.208936915</x:v>
      </x:c>
      <x:c r="F5" s="87" t="n">
        <x:f>'Funding inputs'!$B$19</x:f>
        <x:v>20</x:v>
      </x:c>
      <x:c r="G5" s="56" t="n">
        <x:f>A5+F5-1</x:f>
        <x:v>2047</x:v>
      </x:c>
      <x:c r="H5" s="56"/>
      <x:c r="I5" s="56"/>
      <x:c r="J5" s="56"/>
      <x:c r="K5" s="56"/>
      <x:c r="L5" s="56"/>
      <x:c r="M5" s="56"/>
    </x:row>
    <x:row r="6" ht="25" customHeight="1">
      <x:c r="A6" s="61" t="n">
        <x:f>'Funding inputs'!$B$17+5</x:f>
        <x:v>2033</x:v>
      </x:c>
      <x:c r="B6" s="69" t="n">
        <x:f>SUMIFS($D$17:$D$56,$A$17:$A$56,"&gt;="&amp;A6,$A$17:$A$56,"&lt;"&amp;(A6+5))</x:f>
        <x:v>330396109.46394116</x:v>
      </x:c>
      <x:c r="C6" s="78" t="n">
        <x:f>B6/(1-'Funding inputs'!$B$21)*'Funding inputs'!$B$72</x:f>
        <x:v>337138887.20810324</x:v>
      </x:c>
      <x:c r="D6" s="78" t="n">
        <x:f>C6*(1-'Funding inputs'!$B$21)</x:f>
        <x:v>330396109.46394116</x:v>
      </x:c>
      <x:c r="E6" s="78" t="n">
        <x:f>IF('Funding inputs'!$B$20=0,C6/F6,C6*'Funding inputs'!$B$20/(1-(1+'Funding inputs'!$B$20)^(-F6)))</x:f>
        <x:v>27052896.552168857</x:v>
      </x:c>
      <x:c r="F6" s="61" t="n">
        <x:f>'Funding inputs'!$B$19</x:f>
        <x:v>20</x:v>
      </x:c>
      <x:c r="G6" s="55" t="n">
        <x:f>A6+F6-1</x:f>
        <x:v>2052</x:v>
      </x:c>
      <x:c r="H6" s="55"/>
      <x:c r="I6" s="55"/>
      <x:c r="J6" s="55"/>
      <x:c r="K6" s="55"/>
      <x:c r="L6" s="55"/>
      <x:c r="M6" s="55"/>
    </x:row>
    <x:row r="7" ht="25" customHeight="1">
      <x:c r="A7" s="87" t="n">
        <x:f>'Funding inputs'!$B$17+10</x:f>
        <x:v>2038</x:v>
      </x:c>
      <x:c r="B7" s="70" t="n">
        <x:f>SUMIFS($D$17:$D$56,$A$17:$A$56,"&gt;="&amp;A7,$A$17:$A$56,"&lt;"&amp;(A7+5))</x:f>
        <x:v>383019643.95113194</x:v>
      </x:c>
      <x:c r="C7" s="91" t="n">
        <x:f>B7/(1-'Funding inputs'!$B$21)*'Funding inputs'!$B$72</x:f>
        <x:v>390836371.3787061</x:v>
      </x:c>
      <x:c r="D7" s="91" t="n">
        <x:f>C7*(1-'Funding inputs'!$B$21)</x:f>
        <x:v>383019643.95113194</x:v>
      </x:c>
      <x:c r="E7" s="91" t="n">
        <x:f>IF('Funding inputs'!$B$20=0,C7/F7,C7*'Funding inputs'!$B$20/(1-(1+'Funding inputs'!$B$20)^(-F7)))</x:f>
        <x:v>31361721.607649222</x:v>
      </x:c>
      <x:c r="F7" s="87" t="n">
        <x:f>'Funding inputs'!$B$19</x:f>
        <x:v>20</x:v>
      </x:c>
      <x:c r="G7" s="56" t="n">
        <x:f>A7+F7-1</x:f>
        <x:v>2057</x:v>
      </x:c>
      <x:c r="H7" s="56"/>
      <x:c r="I7" s="56"/>
      <x:c r="J7" s="56"/>
      <x:c r="K7" s="56"/>
      <x:c r="L7" s="56"/>
      <x:c r="M7" s="56"/>
    </x:row>
    <x:row r="8" ht="25" customHeight="1">
      <x:c r="A8" s="55"/>
      <x:c r="B8" s="69"/>
      <x:c r="C8" s="69"/>
      <x:c r="D8" s="69"/>
      <x:c r="E8" s="69"/>
      <x:c r="F8" s="55"/>
      <x:c r="G8" s="55"/>
      <x:c r="H8" s="55"/>
      <x:c r="I8" s="55"/>
      <x:c r="J8" s="55"/>
      <x:c r="K8" s="55"/>
      <x:c r="L8" s="55"/>
      <x:c r="M8" s="55"/>
    </x:row>
    <x:row r="9">
      <x:c r="A9" t="str">
        <x:v>Total gross principal</x:v>
      </x:c>
      <x:c r="B9" s="92" t="n">
        <x:f>SUM(C5:C7)</x:f>
        <x:v>1018794224.250021</x:v>
      </x:c>
      <x:c r="C9" s="93"/>
      <x:c r="D9" s="94" t="str">
        <x:v>Assumes debt tax approved with each bond issue. Receipt timing, eligibility, debt limits, offsets from retiring bonds and parcel impacts need City review.</x:v>
      </x:c>
      <x:c r="E9" s="94"/>
      <x:c r="F9" s="90"/>
      <x:c r="G9" s="90"/>
    </x:row>
    <x:row r="10">
      <x:c r="A10" t="str">
        <x:v>Total net project cash</x:v>
      </x:c>
      <x:c r="B10" s="92" t="n">
        <x:f>SUM(D5:D7)</x:f>
        <x:v>998418339.7650205</x:v>
      </x:c>
      <x:c r="C10" s="93"/>
      <x:c r="D10" s="94"/>
      <x:c r="E10" s="94"/>
      <x:c r="F10" s="90"/>
      <x:c r="G10" s="90"/>
    </x:row>
    <x:row r="11">
      <x:c r="A11" t="str">
        <x:v>Total debt payments</x:v>
      </x:c>
      <x:c r="B11" s="92" t="n">
        <x:f>SUM(C17:C56)</x:f>
        <x:v>1635013687.375101</x:v>
      </x:c>
      <x:c r="C11" s="93"/>
      <x:c r="D11" s="94"/>
      <x:c r="E11" s="94"/>
      <x:c r="F11" s="90"/>
      <x:c r="G11" s="90"/>
    </x:row>
    <x:row r="12">
      <x:c r="A12" t="str">
        <x:v>Total interest</x:v>
      </x:c>
      <x:c r="B12" s="92" t="n">
        <x:f>SUM(K17:K56)</x:f>
        <x:v>616219463.1250813</x:v>
      </x:c>
      <x:c r="C12" s="93"/>
      <x:c r="D12" s="94"/>
      <x:c r="E12" s="94"/>
      <x:c r="F12" s="90"/>
      <x:c r="G12" s="90"/>
    </x:row>
    <x:row r="13">
      <x:c r="D13" s="90"/>
      <x:c r="E13" s="90"/>
      <x:c r="F13" s="90"/>
      <x:c r="G13" s="90"/>
    </x:row>
    <x:row r="16" ht="36" customHeight="1">
      <x:c r="A16" s="6" t="str">
        <x:v>Fiscal start year</x:v>
      </x:c>
      <x:c r="B16" s="6" t="str">
        <x:v>Net bond proceeds</x:v>
      </x:c>
      <x:c r="C16" s="6" t="str">
        <x:v>Debt payment / tax need</x:v>
      </x:c>
      <x:c r="D16" s="6" t="str">
        <x:v>Planned repair spending</x:v>
      </x:c>
      <x:c r="E16" s="6" t="str">
        <x:v>Opening project cash</x:v>
      </x:c>
      <x:c r="F16" s="6" t="str">
        <x:v>Funded repair spending</x:v>
      </x:c>
      <x:c r="G16" s="6" t="str">
        <x:v>Closing project cash</x:v>
      </x:c>
      <x:c r="H16" s="6" t="str">
        <x:v>Unfunded planned repairs</x:v>
      </x:c>
      <x:c r="I16" s="6" t="str">
        <x:v>New borrowing</x:v>
      </x:c>
      <x:c r="J16" s="6" t="str">
        <x:v>Opening debt</x:v>
      </x:c>
      <x:c r="K16" s="6" t="str">
        <x:v>Interest</x:v>
      </x:c>
      <x:c r="L16" s="6" t="str">
        <x:v>Principal repaid</x:v>
      </x:c>
      <x:c r="M16" s="6" t="str">
        <x:v>Closing debt</x:v>
      </x:c>
    </x:row>
    <x:row r="17" ht="25" customHeight="1">
      <x:c r="A17" s="87" t="n">
        <x:f>'Funding inputs'!$B$15+0</x:f>
        <x:v>2026</x:v>
      </x:c>
      <x:c r="B17" s="70" t="n">
        <x:f>SUMIF($A$5:$A$7,A17,$D$5:$D$7)</x:f>
        <x:v>0</x:v>
      </x:c>
      <x:c r="C17" s="70" t="n">
        <x:f>SUMIFS($E$5:$E$7,$A$5:$A$7,"&lt;="&amp;A17,$G$5:$G$7,"&gt;="&amp;A17)</x:f>
        <x:v>0</x:v>
      </x:c>
      <x:c r="D17" s="91" t="n">
        <x:f>IF(AND(A17&gt;='Funding inputs'!$B$17,A17&lt;'Funding inputs'!$B$17+'Funding inputs'!$B$18),Capital!$B$15*(1-Capital!$B$18)/'Funding inputs'!$B$18*(1+'Funding inputs'!$B$64)^(A17-'Funding inputs'!$B$15),0)</x:f>
        <x:v>0</x:v>
      </x:c>
      <x:c r="E17" s="70" t="n">
        <x:f>0</x:f>
        <x:v>0</x:v>
      </x:c>
      <x:c r="F17" s="70" t="n">
        <x:f>MIN(D17,E17+B17)</x:f>
        <x:v>0</x:v>
      </x:c>
      <x:c r="G17" s="70" t="n">
        <x:f>MAX(0,E17+B17-F17)</x:f>
        <x:v>0</x:v>
      </x:c>
      <x:c r="H17" s="70" t="n">
        <x:f>D17-F17</x:f>
        <x:v>0</x:v>
      </x:c>
      <x:c r="I17" s="70" t="n">
        <x:f>SUMIF($A$5:$A$7,A17,$C$5:$C$7)</x:f>
        <x:v>0</x:v>
      </x:c>
      <x:c r="J17" s="70" t="n">
        <x:f>0</x:f>
        <x:v>0</x:v>
      </x:c>
      <x:c r="K17" s="91" t="n">
        <x:f>(J17+I17)*'Funding inputs'!$B$20</x:f>
        <x:v>0</x:v>
      </x:c>
      <x:c r="L17" s="70" t="n">
        <x:f>C17-K17</x:f>
        <x:v>0</x:v>
      </x:c>
      <x:c r="M17" s="70" t="n">
        <x:f>MAX(0,J17+I17-L17)</x:f>
        <x:v>0</x:v>
      </x:c>
    </x:row>
    <x:row r="18" ht="25" customHeight="1">
      <x:c r="A18" s="61" t="n">
        <x:f>'Funding inputs'!$B$15+1</x:f>
        <x:v>2027</x:v>
      </x:c>
      <x:c r="B18" s="69" t="n">
        <x:f>SUMIF($A$5:$A$7,A18,$D$5:$D$7)</x:f>
        <x:v>0</x:v>
      </x:c>
      <x:c r="C18" s="69" t="n">
        <x:f>SUMIFS($E$5:$E$7,$A$5:$A$7,"&lt;="&amp;A18,$G$5:$G$7,"&gt;="&amp;A18)</x:f>
        <x:v>0</x:v>
      </x:c>
      <x:c r="D18" s="78" t="n">
        <x:f>IF(AND(A18&gt;='Funding inputs'!$B$17,A18&lt;'Funding inputs'!$B$17+'Funding inputs'!$B$18),Capital!$B$15*(1-Capital!$B$18)/'Funding inputs'!$B$18*(1+'Funding inputs'!$B$64)^(A18-'Funding inputs'!$B$15),0)</x:f>
        <x:v>0</x:v>
      </x:c>
      <x:c r="E18" s="69" t="n">
        <x:f>G17</x:f>
        <x:v>0</x:v>
      </x:c>
      <x:c r="F18" s="69" t="n">
        <x:f>MIN(D18,E18+B18)</x:f>
        <x:v>0</x:v>
      </x:c>
      <x:c r="G18" s="69" t="n">
        <x:f>MAX(0,E18+B18-F18)</x:f>
        <x:v>0</x:v>
      </x:c>
      <x:c r="H18" s="69" t="n">
        <x:f>D18-F18</x:f>
        <x:v>0</x:v>
      </x:c>
      <x:c r="I18" s="69" t="n">
        <x:f>SUMIF($A$5:$A$7,A18,$C$5:$C$7)</x:f>
        <x:v>0</x:v>
      </x:c>
      <x:c r="J18" s="69" t="n">
        <x:f>M17</x:f>
        <x:v>0</x:v>
      </x:c>
      <x:c r="K18" s="78" t="n">
        <x:f>(J18+I18)*'Funding inputs'!$B$20</x:f>
        <x:v>0</x:v>
      </x:c>
      <x:c r="L18" s="69" t="n">
        <x:f>C18-K18</x:f>
        <x:v>0</x:v>
      </x:c>
      <x:c r="M18" s="69" t="n">
        <x:f>MAX(0,J18+I18-L18)</x:f>
        <x:v>0</x:v>
      </x:c>
    </x:row>
    <x:row r="19" ht="25" customHeight="1">
      <x:c r="A19" s="87" t="n">
        <x:f>'Funding inputs'!$B$15+2</x:f>
        <x:v>2028</x:v>
      </x:c>
      <x:c r="B19" s="70" t="n">
        <x:f>SUMIF($A$5:$A$7,A19,$D$5:$D$7)</x:f>
        <x:v>285002586.3499474</x:v>
      </x:c>
      <x:c r="C19" s="70" t="n">
        <x:f>SUMIFS($E$5:$E$7,$A$5:$A$7,"&lt;="&amp;A19,$G$5:$G$7,"&gt;="&amp;A19)</x:f>
        <x:v>23336066.208936915</x:v>
      </x:c>
      <x:c r="D19" s="91" t="n">
        <x:f>IF(AND(A19&gt;='Funding inputs'!$B$17,A19&lt;'Funding inputs'!$B$17+'Funding inputs'!$B$18),Capital!$B$15*(1-Capital!$B$18)/'Funding inputs'!$B$18*(1+'Funding inputs'!$B$64)^(A19-'Funding inputs'!$B$15),0)</x:f>
        <x:v>53681540</x:v>
      </x:c>
      <x:c r="E19" s="70" t="n">
        <x:f>G18</x:f>
        <x:v>0</x:v>
      </x:c>
      <x:c r="F19" s="70" t="n">
        <x:f>MIN(D19,E19+B19)</x:f>
        <x:v>53681540</x:v>
      </x:c>
      <x:c r="G19" s="70" t="n">
        <x:f>MAX(0,E19+B19-F19)</x:f>
        <x:v>231321046.3499474</x:v>
      </x:c>
      <x:c r="H19" s="70" t="n">
        <x:f>D19-F19</x:f>
        <x:v>0</x:v>
      </x:c>
      <x:c r="I19" s="70" t="n">
        <x:f>SUMIF($A$5:$A$7,A19,$C$5:$C$7)</x:f>
        <x:v>290818965.66321164</x:v>
      </x:c>
      <x:c r="J19" s="70" t="n">
        <x:f>M18</x:f>
        <x:v>0</x:v>
      </x:c>
      <x:c r="K19" s="91" t="n">
        <x:f>(J19+I19)*'Funding inputs'!$B$20</x:f>
        <x:v>14540948.283160582</x:v>
      </x:c>
      <x:c r="L19" s="70" t="n">
        <x:f>C19-K19</x:f>
        <x:v>8795117.925776333</x:v>
      </x:c>
      <x:c r="M19" s="70" t="n">
        <x:f>MAX(0,J19+I19-L19)</x:f>
        <x:v>282023847.73743534</x:v>
      </x:c>
    </x:row>
    <x:row r="20" ht="25" customHeight="1">
      <x:c r="A20" s="61" t="n">
        <x:f>'Funding inputs'!$B$15+3</x:f>
        <x:v>2029</x:v>
      </x:c>
      <x:c r="B20" s="69" t="n">
        <x:f>SUMIF($A$5:$A$7,A20,$D$5:$D$7)</x:f>
        <x:v>0</x:v>
      </x:c>
      <x:c r="C20" s="69" t="n">
        <x:f>SUMIFS($E$5:$E$7,$A$5:$A$7,"&lt;="&amp;A20,$G$5:$G$7,"&gt;="&amp;A20)</x:f>
        <x:v>23336066.208936915</x:v>
      </x:c>
      <x:c r="D20" s="78" t="n">
        <x:f>IF(AND(A20&gt;='Funding inputs'!$B$17,A20&lt;'Funding inputs'!$B$17+'Funding inputs'!$B$18),Capital!$B$15*(1-Capital!$B$18)/'Funding inputs'!$B$18*(1+'Funding inputs'!$B$64)^(A20-'Funding inputs'!$B$15),0)</x:f>
        <x:v>55291986.2</x:v>
      </x:c>
      <x:c r="E20" s="69" t="n">
        <x:f>G19</x:f>
        <x:v>231321046.3499474</x:v>
      </x:c>
      <x:c r="F20" s="69" t="n">
        <x:f>MIN(D20,E20+B20)</x:f>
        <x:v>55291986.2</x:v>
      </x:c>
      <x:c r="G20" s="69" t="n">
        <x:f>MAX(0,E20+B20-F20)</x:f>
        <x:v>176029060.1499474</x:v>
      </x:c>
      <x:c r="H20" s="69" t="n">
        <x:f>D20-F20</x:f>
        <x:v>0</x:v>
      </x:c>
      <x:c r="I20" s="69" t="n">
        <x:f>SUMIF($A$5:$A$7,A20,$C$5:$C$7)</x:f>
        <x:v>0</x:v>
      </x:c>
      <x:c r="J20" s="69" t="n">
        <x:f>M19</x:f>
        <x:v>282023847.73743534</x:v>
      </x:c>
      <x:c r="K20" s="78" t="n">
        <x:f>(J20+I20)*'Funding inputs'!$B$20</x:f>
        <x:v>14101192.386871768</x:v>
      </x:c>
      <x:c r="L20" s="69" t="n">
        <x:f>C20-K20</x:f>
        <x:v>9234873.822065147</x:v>
      </x:c>
      <x:c r="M20" s="69" t="n">
        <x:f>MAX(0,J20+I20-L20)</x:f>
        <x:v>272788973.91537017</x:v>
      </x:c>
    </x:row>
    <x:row r="21" ht="25" customHeight="1">
      <x:c r="A21" s="87" t="n">
        <x:f>'Funding inputs'!$B$15+4</x:f>
        <x:v>2030</x:v>
      </x:c>
      <x:c r="B21" s="70" t="n">
        <x:f>SUMIF($A$5:$A$7,A21,$D$5:$D$7)</x:f>
        <x:v>0</x:v>
      </x:c>
      <x:c r="C21" s="70" t="n">
        <x:f>SUMIFS($E$5:$E$7,$A$5:$A$7,"&lt;="&amp;A21,$G$5:$G$7,"&gt;="&amp;A21)</x:f>
        <x:v>23336066.208936915</x:v>
      </x:c>
      <x:c r="D21" s="91" t="n">
        <x:f>IF(AND(A21&gt;='Funding inputs'!$B$17,A21&lt;'Funding inputs'!$B$17+'Funding inputs'!$B$18),Capital!$B$15*(1-Capital!$B$18)/'Funding inputs'!$B$18*(1+'Funding inputs'!$B$64)^(A21-'Funding inputs'!$B$15),0)</x:f>
        <x:v>56950745.786000006</x:v>
      </x:c>
      <x:c r="E21" s="70" t="n">
        <x:f>G20</x:f>
        <x:v>176029060.1499474</x:v>
      </x:c>
      <x:c r="F21" s="70" t="n">
        <x:f>MIN(D21,E21+B21)</x:f>
        <x:v>56950745.786000006</x:v>
      </x:c>
      <x:c r="G21" s="70" t="n">
        <x:f>MAX(0,E21+B21-F21)</x:f>
        <x:v>119078314.36394739</x:v>
      </x:c>
      <x:c r="H21" s="70" t="n">
        <x:f>D21-F21</x:f>
        <x:v>0</x:v>
      </x:c>
      <x:c r="I21" s="70" t="n">
        <x:f>SUMIF($A$5:$A$7,A21,$C$5:$C$7)</x:f>
        <x:v>0</x:v>
      </x:c>
      <x:c r="J21" s="70" t="n">
        <x:f>M20</x:f>
        <x:v>272788973.91537017</x:v>
      </x:c>
      <x:c r="K21" s="91" t="n">
        <x:f>(J21+I21)*'Funding inputs'!$B$20</x:f>
        <x:v>13639448.695768509</x:v>
      </x:c>
      <x:c r="L21" s="70" t="n">
        <x:f>C21-K21</x:f>
        <x:v>9696617.513168406</x:v>
      </x:c>
      <x:c r="M21" s="70" t="n">
        <x:f>MAX(0,J21+I21-L21)</x:f>
        <x:v>263092356.40220177</x:v>
      </x:c>
    </x:row>
    <x:row r="22" ht="25" customHeight="1">
      <x:c r="A22" s="61" t="n">
        <x:f>'Funding inputs'!$B$15+5</x:f>
        <x:v>2031</x:v>
      </x:c>
      <x:c r="B22" s="69" t="n">
        <x:f>SUMIF($A$5:$A$7,A22,$D$5:$D$7)</x:f>
        <x:v>0</x:v>
      </x:c>
      <x:c r="C22" s="69" t="n">
        <x:f>SUMIFS($E$5:$E$7,$A$5:$A$7,"&lt;="&amp;A22,$G$5:$G$7,"&gt;="&amp;A22)</x:f>
        <x:v>23336066.208936915</x:v>
      </x:c>
      <x:c r="D22" s="78" t="n">
        <x:f>IF(AND(A22&gt;='Funding inputs'!$B$17,A22&lt;'Funding inputs'!$B$17+'Funding inputs'!$B$18),Capital!$B$15*(1-Capital!$B$18)/'Funding inputs'!$B$18*(1+'Funding inputs'!$B$64)^(A22-'Funding inputs'!$B$15),0)</x:f>
        <x:v>58659268.15958</x:v>
      </x:c>
      <x:c r="E22" s="69" t="n">
        <x:f>G21</x:f>
        <x:v>119078314.36394739</x:v>
      </x:c>
      <x:c r="F22" s="69" t="n">
        <x:f>MIN(D22,E22+B22)</x:f>
        <x:v>58659268.15958</x:v>
      </x:c>
      <x:c r="G22" s="69" t="n">
        <x:f>MAX(0,E22+B22-F22)</x:f>
        <x:v>60419046.20436739</x:v>
      </x:c>
      <x:c r="H22" s="69" t="n">
        <x:f>D22-F22</x:f>
        <x:v>0</x:v>
      </x:c>
      <x:c r="I22" s="69" t="n">
        <x:f>SUMIF($A$5:$A$7,A22,$C$5:$C$7)</x:f>
        <x:v>0</x:v>
      </x:c>
      <x:c r="J22" s="69" t="n">
        <x:f>M21</x:f>
        <x:v>263092356.40220177</x:v>
      </x:c>
      <x:c r="K22" s="78" t="n">
        <x:f>(J22+I22)*'Funding inputs'!$B$20</x:f>
        <x:v>13154617.82011009</x:v>
      </x:c>
      <x:c r="L22" s="69" t="n">
        <x:f>C22-K22</x:f>
        <x:v>10181448.388826825</x:v>
      </x:c>
      <x:c r="M22" s="69" t="n">
        <x:f>MAX(0,J22+I22-L22)</x:f>
        <x:v>252910908.01337495</x:v>
      </x:c>
    </x:row>
    <x:row r="23" ht="25" customHeight="1">
      <x:c r="A23" s="87" t="n">
        <x:f>'Funding inputs'!$B$15+6</x:f>
        <x:v>2032</x:v>
      </x:c>
      <x:c r="B23" s="70" t="n">
        <x:f>SUMIF($A$5:$A$7,A23,$D$5:$D$7)</x:f>
        <x:v>0</x:v>
      </x:c>
      <x:c r="C23" s="70" t="n">
        <x:f>SUMIFS($E$5:$E$7,$A$5:$A$7,"&lt;="&amp;A23,$G$5:$G$7,"&gt;="&amp;A23)</x:f>
        <x:v>23336066.208936915</x:v>
      </x:c>
      <x:c r="D23" s="91" t="n">
        <x:f>IF(AND(A23&gt;='Funding inputs'!$B$17,A23&lt;'Funding inputs'!$B$17+'Funding inputs'!$B$18),Capital!$B$15*(1-Capital!$B$18)/'Funding inputs'!$B$18*(1+'Funding inputs'!$B$64)^(A23-'Funding inputs'!$B$15),0)</x:f>
        <x:v>60419046.20436741</x:v>
      </x:c>
      <x:c r="E23" s="70" t="n">
        <x:f>G22</x:f>
        <x:v>60419046.20436739</x:v>
      </x:c>
      <x:c r="F23" s="70" t="n">
        <x:f>MIN(D23,E23+B23)</x:f>
        <x:v>60419046.20436739</x:v>
      </x:c>
      <x:c r="G23" s="70" t="n">
        <x:f>MAX(0,E23+B23-F23)</x:f>
        <x:v>0</x:v>
      </x:c>
      <x:c r="H23" s="70" t="n">
        <x:f>D23-F23</x:f>
        <x:v>1.4901161193847656e-8</x:v>
      </x:c>
      <x:c r="I23" s="70" t="n">
        <x:f>SUMIF($A$5:$A$7,A23,$C$5:$C$7)</x:f>
        <x:v>0</x:v>
      </x:c>
      <x:c r="J23" s="70" t="n">
        <x:f>M22</x:f>
        <x:v>252910908.01337495</x:v>
      </x:c>
      <x:c r="K23" s="91" t="n">
        <x:f>(J23+I23)*'Funding inputs'!$B$20</x:f>
        <x:v>12645545.400668748</x:v>
      </x:c>
      <x:c r="L23" s="70" t="n">
        <x:f>C23-K23</x:f>
        <x:v>10690520.808268167</x:v>
      </x:c>
      <x:c r="M23" s="70" t="n">
        <x:f>MAX(0,J23+I23-L23)</x:f>
        <x:v>242220387.2051068</x:v>
      </x:c>
    </x:row>
    <x:row r="24" ht="25" customHeight="1">
      <x:c r="A24" s="61" t="n">
        <x:f>'Funding inputs'!$B$15+7</x:f>
        <x:v>2033</x:v>
      </x:c>
      <x:c r="B24" s="69" t="n">
        <x:f>SUMIF($A$5:$A$7,A24,$D$5:$D$7)</x:f>
        <x:v>330396109.46394116</x:v>
      </x:c>
      <x:c r="C24" s="69" t="n">
        <x:f>SUMIFS($E$5:$E$7,$A$5:$A$7,"&lt;="&amp;A24,$G$5:$G$7,"&gt;="&amp;A24)</x:f>
        <x:v>50388962.761105776</x:v>
      </x:c>
      <x:c r="D24" s="78" t="n">
        <x:f>IF(AND(A24&gt;='Funding inputs'!$B$17,A24&lt;'Funding inputs'!$B$17+'Funding inputs'!$B$18),Capital!$B$15*(1-Capital!$B$18)/'Funding inputs'!$B$18*(1+'Funding inputs'!$B$64)^(A24-'Funding inputs'!$B$15),0)</x:f>
        <x:v>62231617.59049843</x:v>
      </x:c>
      <x:c r="E24" s="69" t="n">
        <x:f>G23</x:f>
        <x:v>0</x:v>
      </x:c>
      <x:c r="F24" s="69" t="n">
        <x:f>MIN(D24,E24+B24)</x:f>
        <x:v>62231617.59049843</x:v>
      </x:c>
      <x:c r="G24" s="69" t="n">
        <x:f>MAX(0,E24+B24-F24)</x:f>
        <x:v>268164491.8734427</x:v>
      </x:c>
      <x:c r="H24" s="69" t="n">
        <x:f>D24-F24</x:f>
        <x:v>0</x:v>
      </x:c>
      <x:c r="I24" s="69" t="n">
        <x:f>SUMIF($A$5:$A$7,A24,$C$5:$C$7)</x:f>
        <x:v>337138887.20810324</x:v>
      </x:c>
      <x:c r="J24" s="69" t="n">
        <x:f>M23</x:f>
        <x:v>242220387.2051068</x:v>
      </x:c>
      <x:c r="K24" s="78" t="n">
        <x:f>(J24+I24)*'Funding inputs'!$B$20</x:f>
        <x:v>28967963.720660504</x:v>
      </x:c>
      <x:c r="L24" s="69" t="n">
        <x:f>C24-K24</x:f>
        <x:v>21420999.040445272</x:v>
      </x:c>
      <x:c r="M24" s="69" t="n">
        <x:f>MAX(0,J24+I24-L24)</x:f>
        <x:v>557938275.3727647</x:v>
      </x:c>
    </x:row>
    <x:row r="25" ht="25" customHeight="1">
      <x:c r="A25" s="87" t="n">
        <x:f>'Funding inputs'!$B$15+8</x:f>
        <x:v>2034</x:v>
      </x:c>
      <x:c r="B25" s="70" t="n">
        <x:f>SUMIF($A$5:$A$7,A25,$D$5:$D$7)</x:f>
        <x:v>0</x:v>
      </x:c>
      <x:c r="C25" s="70" t="n">
        <x:f>SUMIFS($E$5:$E$7,$A$5:$A$7,"&lt;="&amp;A25,$G$5:$G$7,"&gt;="&amp;A25)</x:f>
        <x:v>50388962.761105776</x:v>
      </x:c>
      <x:c r="D25" s="91" t="n">
        <x:f>IF(AND(A25&gt;='Funding inputs'!$B$17,A25&lt;'Funding inputs'!$B$17+'Funding inputs'!$B$18),Capital!$B$15*(1-Capital!$B$18)/'Funding inputs'!$B$18*(1+'Funding inputs'!$B$64)^(A25-'Funding inputs'!$B$15),0)</x:f>
        <x:v>64098566.118213385</x:v>
      </x:c>
      <x:c r="E25" s="70" t="n">
        <x:f>G24</x:f>
        <x:v>268164491.8734427</x:v>
      </x:c>
      <x:c r="F25" s="70" t="n">
        <x:f>MIN(D25,E25+B25)</x:f>
        <x:v>64098566.118213385</x:v>
      </x:c>
      <x:c r="G25" s="70" t="n">
        <x:f>MAX(0,E25+B25-F25)</x:f>
        <x:v>204065925.75522932</x:v>
      </x:c>
      <x:c r="H25" s="70" t="n">
        <x:f>D25-F25</x:f>
        <x:v>0</x:v>
      </x:c>
      <x:c r="I25" s="70" t="n">
        <x:f>SUMIF($A$5:$A$7,A25,$C$5:$C$7)</x:f>
        <x:v>0</x:v>
      </x:c>
      <x:c r="J25" s="70" t="n">
        <x:f>M24</x:f>
        <x:v>557938275.3727647</x:v>
      </x:c>
      <x:c r="K25" s="91" t="n">
        <x:f>(J25+I25)*'Funding inputs'!$B$20</x:f>
        <x:v>27896913.76863824</x:v>
      </x:c>
      <x:c r="L25" s="70" t="n">
        <x:f>C25-K25</x:f>
        <x:v>22492048.992467538</x:v>
      </x:c>
      <x:c r="M25" s="70" t="n">
        <x:f>MAX(0,J25+I25-L25)</x:f>
        <x:v>535446226.3802972</x:v>
      </x:c>
    </x:row>
    <x:row r="26" ht="25" customHeight="1">
      <x:c r="A26" s="61" t="n">
        <x:f>'Funding inputs'!$B$15+9</x:f>
        <x:v>2035</x:v>
      </x:c>
      <x:c r="B26" s="69" t="n">
        <x:f>SUMIF($A$5:$A$7,A26,$D$5:$D$7)</x:f>
        <x:v>0</x:v>
      </x:c>
      <x:c r="C26" s="69" t="n">
        <x:f>SUMIFS($E$5:$E$7,$A$5:$A$7,"&lt;="&amp;A26,$G$5:$G$7,"&gt;="&amp;A26)</x:f>
        <x:v>50388962.761105776</x:v>
      </x:c>
      <x:c r="D26" s="78" t="n">
        <x:f>IF(AND(A26&gt;='Funding inputs'!$B$17,A26&lt;'Funding inputs'!$B$17+'Funding inputs'!$B$18),Capital!$B$15*(1-Capital!$B$18)/'Funding inputs'!$B$18*(1+'Funding inputs'!$B$64)^(A26-'Funding inputs'!$B$15),0)</x:f>
        <x:v>66021523.10175979</x:v>
      </x:c>
      <x:c r="E26" s="69" t="n">
        <x:f>G25</x:f>
        <x:v>204065925.75522932</x:v>
      </x:c>
      <x:c r="F26" s="69" t="n">
        <x:f>MIN(D26,E26+B26)</x:f>
        <x:v>66021523.10175979</x:v>
      </x:c>
      <x:c r="G26" s="69" t="n">
        <x:f>MAX(0,E26+B26-F26)</x:f>
        <x:v>138044402.65346953</x:v>
      </x:c>
      <x:c r="H26" s="69" t="n">
        <x:f>D26-F26</x:f>
        <x:v>0</x:v>
      </x:c>
      <x:c r="I26" s="69" t="n">
        <x:f>SUMIF($A$5:$A$7,A26,$C$5:$C$7)</x:f>
        <x:v>0</x:v>
      </x:c>
      <x:c r="J26" s="69" t="n">
        <x:f>M25</x:f>
        <x:v>535446226.3802972</x:v>
      </x:c>
      <x:c r="K26" s="78" t="n">
        <x:f>(J26+I26)*'Funding inputs'!$B$20</x:f>
        <x:v>26772311.319014862</x:v>
      </x:c>
      <x:c r="L26" s="69" t="n">
        <x:f>C26-K26</x:f>
        <x:v>23616651.442090914</x:v>
      </x:c>
      <x:c r="M26" s="69" t="n">
        <x:f>MAX(0,J26+I26-L26)</x:f>
        <x:v>511829574.93820626</x:v>
      </x:c>
    </x:row>
    <x:row r="27" ht="25" customHeight="1">
      <x:c r="A27" s="87" t="n">
        <x:f>'Funding inputs'!$B$15+10</x:f>
        <x:v>2036</x:v>
      </x:c>
      <x:c r="B27" s="70" t="n">
        <x:f>SUMIF($A$5:$A$7,A27,$D$5:$D$7)</x:f>
        <x:v>0</x:v>
      </x:c>
      <x:c r="C27" s="70" t="n">
        <x:f>SUMIFS($E$5:$E$7,$A$5:$A$7,"&lt;="&amp;A27,$G$5:$G$7,"&gt;="&amp;A27)</x:f>
        <x:v>50388962.761105776</x:v>
      </x:c>
      <x:c r="D27" s="91" t="n">
        <x:f>IF(AND(A27&gt;='Funding inputs'!$B$17,A27&lt;'Funding inputs'!$B$17+'Funding inputs'!$B$18),Capital!$B$15*(1-Capital!$B$18)/'Funding inputs'!$B$18*(1+'Funding inputs'!$B$64)^(A27-'Funding inputs'!$B$15),0)</x:f>
        <x:v>68002168.79481259</x:v>
      </x:c>
      <x:c r="E27" s="70" t="n">
        <x:f>G26</x:f>
        <x:v>138044402.65346953</x:v>
      </x:c>
      <x:c r="F27" s="70" t="n">
        <x:f>MIN(D27,E27+B27)</x:f>
        <x:v>68002168.79481259</x:v>
      </x:c>
      <x:c r="G27" s="70" t="n">
        <x:f>MAX(0,E27+B27-F27)</x:f>
        <x:v>70042233.85865694</x:v>
      </x:c>
      <x:c r="H27" s="70" t="n">
        <x:f>D27-F27</x:f>
        <x:v>0</x:v>
      </x:c>
      <x:c r="I27" s="70" t="n">
        <x:f>SUMIF($A$5:$A$7,A27,$C$5:$C$7)</x:f>
        <x:v>0</x:v>
      </x:c>
      <x:c r="J27" s="70" t="n">
        <x:f>M26</x:f>
        <x:v>511829574.93820626</x:v>
      </x:c>
      <x:c r="K27" s="91" t="n">
        <x:f>(J27+I27)*'Funding inputs'!$B$20</x:f>
        <x:v>25591478.746910315</x:v>
      </x:c>
      <x:c r="L27" s="70" t="n">
        <x:f>C27-K27</x:f>
        <x:v>24797484.01419546</x:v>
      </x:c>
      <x:c r="M27" s="70" t="n">
        <x:f>MAX(0,J27+I27-L27)</x:f>
        <x:v>487032090.9240108</x:v>
      </x:c>
    </x:row>
    <x:row r="28" ht="25" customHeight="1">
      <x:c r="A28" s="61" t="n">
        <x:f>'Funding inputs'!$B$15+11</x:f>
        <x:v>2037</x:v>
      </x:c>
      <x:c r="B28" s="69" t="n">
        <x:f>SUMIF($A$5:$A$7,A28,$D$5:$D$7)</x:f>
        <x:v>0</x:v>
      </x:c>
      <x:c r="C28" s="69" t="n">
        <x:f>SUMIFS($E$5:$E$7,$A$5:$A$7,"&lt;="&amp;A28,$G$5:$G$7,"&gt;="&amp;A28)</x:f>
        <x:v>50388962.761105776</x:v>
      </x:c>
      <x:c r="D28" s="78" t="n">
        <x:f>IF(AND(A28&gt;='Funding inputs'!$B$17,A28&lt;'Funding inputs'!$B$17+'Funding inputs'!$B$18),Capital!$B$15*(1-Capital!$B$18)/'Funding inputs'!$B$18*(1+'Funding inputs'!$B$64)^(A28-'Funding inputs'!$B$15),0)</x:f>
        <x:v>70042233.85865696</x:v>
      </x:c>
      <x:c r="E28" s="69" t="n">
        <x:f>G27</x:f>
        <x:v>70042233.85865694</x:v>
      </x:c>
      <x:c r="F28" s="69" t="n">
        <x:f>MIN(D28,E28+B28)</x:f>
        <x:v>70042233.85865694</x:v>
      </x:c>
      <x:c r="G28" s="69" t="n">
        <x:f>MAX(0,E28+B28-F28)</x:f>
        <x:v>0</x:v>
      </x:c>
      <x:c r="H28" s="69" t="n">
        <x:f>D28-F28</x:f>
        <x:v>1.4901161193847656e-8</x:v>
      </x:c>
      <x:c r="I28" s="69" t="n">
        <x:f>SUMIF($A$5:$A$7,A28,$C$5:$C$7)</x:f>
        <x:v>0</x:v>
      </x:c>
      <x:c r="J28" s="69" t="n">
        <x:f>M27</x:f>
        <x:v>487032090.9240108</x:v>
      </x:c>
      <x:c r="K28" s="78" t="n">
        <x:f>(J28+I28)*'Funding inputs'!$B$20</x:f>
        <x:v>24351604.546200544</x:v>
      </x:c>
      <x:c r="L28" s="69" t="n">
        <x:f>C28-K28</x:f>
        <x:v>26037358.214905232</x:v>
      </x:c>
      <x:c r="M28" s="69" t="n">
        <x:f>MAX(0,J28+I28-L28)</x:f>
        <x:v>460994732.7091056</x:v>
      </x:c>
    </x:row>
    <x:row r="29" ht="25" customHeight="1">
      <x:c r="A29" s="87" t="n">
        <x:f>'Funding inputs'!$B$15+12</x:f>
        <x:v>2038</x:v>
      </x:c>
      <x:c r="B29" s="70" t="n">
        <x:f>SUMIF($A$5:$A$7,A29,$D$5:$D$7)</x:f>
        <x:v>383019643.95113194</x:v>
      </x:c>
      <x:c r="C29" s="70" t="n">
        <x:f>SUMIFS($E$5:$E$7,$A$5:$A$7,"&lt;="&amp;A29,$G$5:$G$7,"&gt;="&amp;A29)</x:f>
        <x:v>81750684.368755</x:v>
      </x:c>
      <x:c r="D29" s="91" t="n">
        <x:f>IF(AND(A29&gt;='Funding inputs'!$B$17,A29&lt;'Funding inputs'!$B$17+'Funding inputs'!$B$18),Capital!$B$15*(1-Capital!$B$18)/'Funding inputs'!$B$18*(1+'Funding inputs'!$B$64)^(A29-'Funding inputs'!$B$15),0)</x:f>
        <x:v>72143500.87441668</x:v>
      </x:c>
      <x:c r="E29" s="70" t="n">
        <x:f>G28</x:f>
        <x:v>0</x:v>
      </x:c>
      <x:c r="F29" s="70" t="n">
        <x:f>MIN(D29,E29+B29)</x:f>
        <x:v>72143500.87441668</x:v>
      </x:c>
      <x:c r="G29" s="70" t="n">
        <x:f>MAX(0,E29+B29-F29)</x:f>
        <x:v>310876143.07671523</x:v>
      </x:c>
      <x:c r="H29" s="70" t="n">
        <x:f>D29-F29</x:f>
        <x:v>0</x:v>
      </x:c>
      <x:c r="I29" s="70" t="n">
        <x:f>SUMIF($A$5:$A$7,A29,$C$5:$C$7)</x:f>
        <x:v>390836371.3787061</x:v>
      </x:c>
      <x:c r="J29" s="70" t="n">
        <x:f>M28</x:f>
        <x:v>460994732.7091056</x:v>
      </x:c>
      <x:c r="K29" s="91" t="n">
        <x:f>(J29+I29)*'Funding inputs'!$B$20</x:f>
        <x:v>42591555.204390585</x:v>
      </x:c>
      <x:c r="L29" s="70" t="n">
        <x:f>C29-K29</x:f>
        <x:v>39159129.16436441</x:v>
      </x:c>
      <x:c r="M29" s="70" t="n">
        <x:f>MAX(0,J29+I29-L29)</x:f>
        <x:v>812671974.9234473</x:v>
      </x:c>
    </x:row>
    <x:row r="30" ht="25" customHeight="1">
      <x:c r="A30" s="61" t="n">
        <x:f>'Funding inputs'!$B$15+13</x:f>
        <x:v>2039</x:v>
      </x:c>
      <x:c r="B30" s="69" t="n">
        <x:f>SUMIF($A$5:$A$7,A30,$D$5:$D$7)</x:f>
        <x:v>0</x:v>
      </x:c>
      <x:c r="C30" s="69" t="n">
        <x:f>SUMIFS($E$5:$E$7,$A$5:$A$7,"&lt;="&amp;A30,$G$5:$G$7,"&gt;="&amp;A30)</x:f>
        <x:v>81750684.368755</x:v>
      </x:c>
      <x:c r="D30" s="78" t="n">
        <x:f>IF(AND(A30&gt;='Funding inputs'!$B$17,A30&lt;'Funding inputs'!$B$17+'Funding inputs'!$B$18),Capital!$B$15*(1-Capital!$B$18)/'Funding inputs'!$B$18*(1+'Funding inputs'!$B$64)^(A30-'Funding inputs'!$B$15),0)</x:f>
        <x:v>74307805.90064918</x:v>
      </x:c>
      <x:c r="E30" s="69" t="n">
        <x:f>G29</x:f>
        <x:v>310876143.07671523</x:v>
      </x:c>
      <x:c r="F30" s="69" t="n">
        <x:f>MIN(D30,E30+B30)</x:f>
        <x:v>74307805.90064918</x:v>
      </x:c>
      <x:c r="G30" s="69" t="n">
        <x:f>MAX(0,E30+B30-F30)</x:f>
        <x:v>236568337.17606604</x:v>
      </x:c>
      <x:c r="H30" s="69" t="n">
        <x:f>D30-F30</x:f>
        <x:v>0</x:v>
      </x:c>
      <x:c r="I30" s="69" t="n">
        <x:f>SUMIF($A$5:$A$7,A30,$C$5:$C$7)</x:f>
        <x:v>0</x:v>
      </x:c>
      <x:c r="J30" s="69" t="n">
        <x:f>M29</x:f>
        <x:v>812671974.9234473</x:v>
      </x:c>
      <x:c r="K30" s="78" t="n">
        <x:f>(J30+I30)*'Funding inputs'!$B$20</x:f>
        <x:v>40633598.74617237</x:v>
      </x:c>
      <x:c r="L30" s="69" t="n">
        <x:f>C30-K30</x:f>
        <x:v>41117085.62258263</x:v>
      </x:c>
      <x:c r="M30" s="69" t="n">
        <x:f>MAX(0,J30+I30-L30)</x:f>
        <x:v>771554889.3008646</x:v>
      </x:c>
    </x:row>
    <x:row r="31" ht="25" customHeight="1">
      <x:c r="A31" s="87" t="n">
        <x:f>'Funding inputs'!$B$15+14</x:f>
        <x:v>2040</x:v>
      </x:c>
      <x:c r="B31" s="70" t="n">
        <x:f>SUMIF($A$5:$A$7,A31,$D$5:$D$7)</x:f>
        <x:v>0</x:v>
      </x:c>
      <x:c r="C31" s="70" t="n">
        <x:f>SUMIFS($E$5:$E$7,$A$5:$A$7,"&lt;="&amp;A31,$G$5:$G$7,"&gt;="&amp;A31)</x:f>
        <x:v>81750684.368755</x:v>
      </x:c>
      <x:c r="D31" s="91" t="n">
        <x:f>IF(AND(A31&gt;='Funding inputs'!$B$17,A31&lt;'Funding inputs'!$B$17+'Funding inputs'!$B$18),Capital!$B$15*(1-Capital!$B$18)/'Funding inputs'!$B$18*(1+'Funding inputs'!$B$64)^(A31-'Funding inputs'!$B$15),0)</x:f>
        <x:v>76537040.07766867</x:v>
      </x:c>
      <x:c r="E31" s="70" t="n">
        <x:f>G30</x:f>
        <x:v>236568337.17606604</x:v>
      </x:c>
      <x:c r="F31" s="70" t="n">
        <x:f>MIN(D31,E31+B31)</x:f>
        <x:v>76537040.07766867</x:v>
      </x:c>
      <x:c r="G31" s="70" t="n">
        <x:f>MAX(0,E31+B31-F31)</x:f>
        <x:v>160031297.09839737</x:v>
      </x:c>
      <x:c r="H31" s="70" t="n">
        <x:f>D31-F31</x:f>
        <x:v>0</x:v>
      </x:c>
      <x:c r="I31" s="70" t="n">
        <x:f>SUMIF($A$5:$A$7,A31,$C$5:$C$7)</x:f>
        <x:v>0</x:v>
      </x:c>
      <x:c r="J31" s="70" t="n">
        <x:f>M30</x:f>
        <x:v>771554889.3008646</x:v>
      </x:c>
      <x:c r="K31" s="91" t="n">
        <x:f>(J31+I31)*'Funding inputs'!$B$20</x:f>
        <x:v>38577744.46504323</x:v>
      </x:c>
      <x:c r="L31" s="70" t="n">
        <x:f>C31-K31</x:f>
        <x:v>43172939.903711766</x:v>
      </x:c>
      <x:c r="M31" s="70" t="n">
        <x:f>MAX(0,J31+I31-L31)</x:f>
        <x:v>728381949.3971528</x:v>
      </x:c>
    </x:row>
    <x:row r="32" ht="25" customHeight="1">
      <x:c r="A32" s="61" t="n">
        <x:f>'Funding inputs'!$B$15+15</x:f>
        <x:v>2041</x:v>
      </x:c>
      <x:c r="B32" s="69" t="n">
        <x:f>SUMIF($A$5:$A$7,A32,$D$5:$D$7)</x:f>
        <x:v>0</x:v>
      </x:c>
      <x:c r="C32" s="69" t="n">
        <x:f>SUMIFS($E$5:$E$7,$A$5:$A$7,"&lt;="&amp;A32,$G$5:$G$7,"&gt;="&amp;A32)</x:f>
        <x:v>81750684.368755</x:v>
      </x:c>
      <x:c r="D32" s="78" t="n">
        <x:f>IF(AND(A32&gt;='Funding inputs'!$B$17,A32&lt;'Funding inputs'!$B$17+'Funding inputs'!$B$18),Capital!$B$15*(1-Capital!$B$18)/'Funding inputs'!$B$18*(1+'Funding inputs'!$B$64)^(A32-'Funding inputs'!$B$15),0)</x:f>
        <x:v>78833151.27999872</x:v>
      </x:c>
      <x:c r="E32" s="69" t="n">
        <x:f>G31</x:f>
        <x:v>160031297.09839737</x:v>
      </x:c>
      <x:c r="F32" s="69" t="n">
        <x:f>MIN(D32,E32+B32)</x:f>
        <x:v>78833151.27999872</x:v>
      </x:c>
      <x:c r="G32" s="69" t="n">
        <x:f>MAX(0,E32+B32-F32)</x:f>
        <x:v>81198145.81839865</x:v>
      </x:c>
      <x:c r="H32" s="69" t="n">
        <x:f>D32-F32</x:f>
        <x:v>0</x:v>
      </x:c>
      <x:c r="I32" s="69" t="n">
        <x:f>SUMIF($A$5:$A$7,A32,$C$5:$C$7)</x:f>
        <x:v>0</x:v>
      </x:c>
      <x:c r="J32" s="69" t="n">
        <x:f>M31</x:f>
        <x:v>728381949.3971528</x:v>
      </x:c>
      <x:c r="K32" s="78" t="n">
        <x:f>(J32+I32)*'Funding inputs'!$B$20</x:f>
        <x:v>36419097.46985764</x:v>
      </x:c>
      <x:c r="L32" s="69" t="n">
        <x:f>C32-K32</x:f>
        <x:v>45331586.89889736</x:v>
      </x:c>
      <x:c r="M32" s="69" t="n">
        <x:f>MAX(0,J32+I32-L32)</x:f>
        <x:v>683050362.4982554</x:v>
      </x:c>
    </x:row>
    <x:row r="33" ht="25" customHeight="1">
      <x:c r="A33" s="87" t="n">
        <x:f>'Funding inputs'!$B$15+16</x:f>
        <x:v>2042</x:v>
      </x:c>
      <x:c r="B33" s="70" t="n">
        <x:f>SUMIF($A$5:$A$7,A33,$D$5:$D$7)</x:f>
        <x:v>0</x:v>
      </x:c>
      <x:c r="C33" s="70" t="n">
        <x:f>SUMIFS($E$5:$E$7,$A$5:$A$7,"&lt;="&amp;A33,$G$5:$G$7,"&gt;="&amp;A33)</x:f>
        <x:v>81750684.368755</x:v>
      </x:c>
      <x:c r="D33" s="91" t="n">
        <x:f>IF(AND(A33&gt;='Funding inputs'!$B$17,A33&lt;'Funding inputs'!$B$17+'Funding inputs'!$B$18),Capital!$B$15*(1-Capital!$B$18)/'Funding inputs'!$B$18*(1+'Funding inputs'!$B$64)^(A33-'Funding inputs'!$B$15),0)</x:f>
        <x:v>81198145.81839868</x:v>
      </x:c>
      <x:c r="E33" s="70" t="n">
        <x:f>G32</x:f>
        <x:v>81198145.81839865</x:v>
      </x:c>
      <x:c r="F33" s="70" t="n">
        <x:f>MIN(D33,E33+B33)</x:f>
        <x:v>81198145.81839865</x:v>
      </x:c>
      <x:c r="G33" s="70" t="n">
        <x:f>MAX(0,E33+B33-F33)</x:f>
        <x:v>0</x:v>
      </x:c>
      <x:c r="H33" s="70" t="n">
        <x:f>D33-F33</x:f>
        <x:v>2.9802322387695312e-8</x:v>
      </x:c>
      <x:c r="I33" s="70" t="n">
        <x:f>SUMIF($A$5:$A$7,A33,$C$5:$C$7)</x:f>
        <x:v>0</x:v>
      </x:c>
      <x:c r="J33" s="70" t="n">
        <x:f>M32</x:f>
        <x:v>683050362.4982554</x:v>
      </x:c>
      <x:c r="K33" s="91" t="n">
        <x:f>(J33+I33)*'Funding inputs'!$B$20</x:f>
        <x:v>34152518.12491277</x:v>
      </x:c>
      <x:c r="L33" s="70" t="n">
        <x:f>C33-K33</x:f>
        <x:v>47598166.24384223</x:v>
      </x:c>
      <x:c r="M33" s="70" t="n">
        <x:f>MAX(0,J33+I33-L33)</x:f>
        <x:v>635452196.2544131</x:v>
      </x:c>
    </x:row>
    <x:row r="34" ht="25" customHeight="1">
      <x:c r="A34" s="61" t="n">
        <x:f>'Funding inputs'!$B$15+17</x:f>
        <x:v>2043</x:v>
      </x:c>
      <x:c r="B34" s="69" t="n">
        <x:f>SUMIF($A$5:$A$7,A34,$D$5:$D$7)</x:f>
        <x:v>0</x:v>
      </x:c>
      <x:c r="C34" s="69" t="n">
        <x:f>SUMIFS($E$5:$E$7,$A$5:$A$7,"&lt;="&amp;A34,$G$5:$G$7,"&gt;="&amp;A34)</x:f>
        <x:v>81750684.368755</x:v>
      </x:c>
      <x:c r="D34" s="78" t="n">
        <x:f>IF(AND(A34&gt;='Funding inputs'!$B$17,A34&lt;'Funding inputs'!$B$17+'Funding inputs'!$B$18),Capital!$B$15*(1-Capital!$B$18)/'Funding inputs'!$B$18*(1+'Funding inputs'!$B$64)^(A34-'Funding inputs'!$B$15),0)</x:f>
        <x:v>0</x:v>
      </x:c>
      <x:c r="E34" s="69" t="n">
        <x:f>G33</x:f>
        <x:v>0</x:v>
      </x:c>
      <x:c r="F34" s="69" t="n">
        <x:f>MIN(D34,E34+B34)</x:f>
        <x:v>0</x:v>
      </x:c>
      <x:c r="G34" s="69" t="n">
        <x:f>MAX(0,E34+B34-F34)</x:f>
        <x:v>0</x:v>
      </x:c>
      <x:c r="H34" s="69" t="n">
        <x:f>D34-F34</x:f>
        <x:v>0</x:v>
      </x:c>
      <x:c r="I34" s="69" t="n">
        <x:f>SUMIF($A$5:$A$7,A34,$C$5:$C$7)</x:f>
        <x:v>0</x:v>
      </x:c>
      <x:c r="J34" s="69" t="n">
        <x:f>M33</x:f>
        <x:v>635452196.2544131</x:v>
      </x:c>
      <x:c r="K34" s="78" t="n">
        <x:f>(J34+I34)*'Funding inputs'!$B$20</x:f>
        <x:v>31772609.812720656</x:v>
      </x:c>
      <x:c r="L34" s="69" t="n">
        <x:f>C34-K34</x:f>
        <x:v>49978074.55603434</x:v>
      </x:c>
      <x:c r="M34" s="69" t="n">
        <x:f>MAX(0,J34+I34-L34)</x:f>
        <x:v>585474121.6983788</x:v>
      </x:c>
    </x:row>
    <x:row r="35" ht="25" customHeight="1">
      <x:c r="A35" s="87" t="n">
        <x:f>'Funding inputs'!$B$15+18</x:f>
        <x:v>2044</x:v>
      </x:c>
      <x:c r="B35" s="70" t="n">
        <x:f>SUMIF($A$5:$A$7,A35,$D$5:$D$7)</x:f>
        <x:v>0</x:v>
      </x:c>
      <x:c r="C35" s="70" t="n">
        <x:f>SUMIFS($E$5:$E$7,$A$5:$A$7,"&lt;="&amp;A35,$G$5:$G$7,"&gt;="&amp;A35)</x:f>
        <x:v>81750684.368755</x:v>
      </x:c>
      <x:c r="D35" s="91" t="n">
        <x:f>IF(AND(A35&gt;='Funding inputs'!$B$17,A35&lt;'Funding inputs'!$B$17+'Funding inputs'!$B$18),Capital!$B$15*(1-Capital!$B$18)/'Funding inputs'!$B$18*(1+'Funding inputs'!$B$64)^(A35-'Funding inputs'!$B$15),0)</x:f>
        <x:v>0</x:v>
      </x:c>
      <x:c r="E35" s="70" t="n">
        <x:f>G34</x:f>
        <x:v>0</x:v>
      </x:c>
      <x:c r="F35" s="70" t="n">
        <x:f>MIN(D35,E35+B35)</x:f>
        <x:v>0</x:v>
      </x:c>
      <x:c r="G35" s="70" t="n">
        <x:f>MAX(0,E35+B35-F35)</x:f>
        <x:v>0</x:v>
      </x:c>
      <x:c r="H35" s="70" t="n">
        <x:f>D35-F35</x:f>
        <x:v>0</x:v>
      </x:c>
      <x:c r="I35" s="70" t="n">
        <x:f>SUMIF($A$5:$A$7,A35,$C$5:$C$7)</x:f>
        <x:v>0</x:v>
      </x:c>
      <x:c r="J35" s="70" t="n">
        <x:f>M34</x:f>
        <x:v>585474121.6983788</x:v>
      </x:c>
      <x:c r="K35" s="91" t="n">
        <x:f>(J35+I35)*'Funding inputs'!$B$20</x:f>
        <x:v>29273706.084918942</x:v>
      </x:c>
      <x:c r="L35" s="70" t="n">
        <x:f>C35-K35</x:f>
        <x:v>52476978.28383605</x:v>
      </x:c>
      <x:c r="M35" s="70" t="n">
        <x:f>MAX(0,J35+I35-L35)</x:f>
        <x:v>532997143.41454273</x:v>
      </x:c>
    </x:row>
    <x:row r="36" ht="25" customHeight="1">
      <x:c r="A36" s="61" t="n">
        <x:f>'Funding inputs'!$B$15+19</x:f>
        <x:v>2045</x:v>
      </x:c>
      <x:c r="B36" s="69" t="n">
        <x:f>SUMIF($A$5:$A$7,A36,$D$5:$D$7)</x:f>
        <x:v>0</x:v>
      </x:c>
      <x:c r="C36" s="69" t="n">
        <x:f>SUMIFS($E$5:$E$7,$A$5:$A$7,"&lt;="&amp;A36,$G$5:$G$7,"&gt;="&amp;A36)</x:f>
        <x:v>81750684.368755</x:v>
      </x:c>
      <x:c r="D36" s="78" t="n">
        <x:f>IF(AND(A36&gt;='Funding inputs'!$B$17,A36&lt;'Funding inputs'!$B$17+'Funding inputs'!$B$18),Capital!$B$15*(1-Capital!$B$18)/'Funding inputs'!$B$18*(1+'Funding inputs'!$B$64)^(A36-'Funding inputs'!$B$15),0)</x:f>
        <x:v>0</x:v>
      </x:c>
      <x:c r="E36" s="69" t="n">
        <x:f>G35</x:f>
        <x:v>0</x:v>
      </x:c>
      <x:c r="F36" s="69" t="n">
        <x:f>MIN(D36,E36+B36)</x:f>
        <x:v>0</x:v>
      </x:c>
      <x:c r="G36" s="69" t="n">
        <x:f>MAX(0,E36+B36-F36)</x:f>
        <x:v>0</x:v>
      </x:c>
      <x:c r="H36" s="69" t="n">
        <x:f>D36-F36</x:f>
        <x:v>0</x:v>
      </x:c>
      <x:c r="I36" s="69" t="n">
        <x:f>SUMIF($A$5:$A$7,A36,$C$5:$C$7)</x:f>
        <x:v>0</x:v>
      </x:c>
      <x:c r="J36" s="69" t="n">
        <x:f>M35</x:f>
        <x:v>532997143.41454273</x:v>
      </x:c>
      <x:c r="K36" s="78" t="n">
        <x:f>(J36+I36)*'Funding inputs'!$B$20</x:f>
        <x:v>26649857.170727137</x:v>
      </x:c>
      <x:c r="L36" s="69" t="n">
        <x:f>C36-K36</x:f>
        <x:v>55100827.198027864</x:v>
      </x:c>
      <x:c r="M36" s="69" t="n">
        <x:f>MAX(0,J36+I36-L36)</x:f>
        <x:v>477896316.2165149</x:v>
      </x:c>
    </x:row>
    <x:row r="37" ht="25" customHeight="1">
      <x:c r="A37" s="87" t="n">
        <x:f>'Funding inputs'!$B$15+20</x:f>
        <x:v>2046</x:v>
      </x:c>
      <x:c r="B37" s="70" t="n">
        <x:f>SUMIF($A$5:$A$7,A37,$D$5:$D$7)</x:f>
        <x:v>0</x:v>
      </x:c>
      <x:c r="C37" s="70" t="n">
        <x:f>SUMIFS($E$5:$E$7,$A$5:$A$7,"&lt;="&amp;A37,$G$5:$G$7,"&gt;="&amp;A37)</x:f>
        <x:v>81750684.368755</x:v>
      </x:c>
      <x:c r="D37" s="91" t="n">
        <x:f>IF(AND(A37&gt;='Funding inputs'!$B$17,A37&lt;'Funding inputs'!$B$17+'Funding inputs'!$B$18),Capital!$B$15*(1-Capital!$B$18)/'Funding inputs'!$B$18*(1+'Funding inputs'!$B$64)^(A37-'Funding inputs'!$B$15),0)</x:f>
        <x:v>0</x:v>
      </x:c>
      <x:c r="E37" s="70" t="n">
        <x:f>G36</x:f>
        <x:v>0</x:v>
      </x:c>
      <x:c r="F37" s="70" t="n">
        <x:f>MIN(D37,E37+B37)</x:f>
        <x:v>0</x:v>
      </x:c>
      <x:c r="G37" s="70" t="n">
        <x:f>MAX(0,E37+B37-F37)</x:f>
        <x:v>0</x:v>
      </x:c>
      <x:c r="H37" s="70" t="n">
        <x:f>D37-F37</x:f>
        <x:v>0</x:v>
      </x:c>
      <x:c r="I37" s="70" t="n">
        <x:f>SUMIF($A$5:$A$7,A37,$C$5:$C$7)</x:f>
        <x:v>0</x:v>
      </x:c>
      <x:c r="J37" s="70" t="n">
        <x:f>M36</x:f>
        <x:v>477896316.2165149</x:v>
      </x:c>
      <x:c r="K37" s="91" t="n">
        <x:f>(J37+I37)*'Funding inputs'!$B$20</x:f>
        <x:v>23894815.810825747</x:v>
      </x:c>
      <x:c r="L37" s="70" t="n">
        <x:f>C37-K37</x:f>
        <x:v>57855868.55792925</x:v>
      </x:c>
      <x:c r="M37" s="70" t="n">
        <x:f>MAX(0,J37+I37-L37)</x:f>
        <x:v>420040447.65858567</x:v>
      </x:c>
    </x:row>
    <x:row r="38" ht="25" customHeight="1">
      <x:c r="A38" s="61" t="n">
        <x:f>'Funding inputs'!$B$15+21</x:f>
        <x:v>2047</x:v>
      </x:c>
      <x:c r="B38" s="69" t="n">
        <x:f>SUMIF($A$5:$A$7,A38,$D$5:$D$7)</x:f>
        <x:v>0</x:v>
      </x:c>
      <x:c r="C38" s="69" t="n">
        <x:f>SUMIFS($E$5:$E$7,$A$5:$A$7,"&lt;="&amp;A38,$G$5:$G$7,"&gt;="&amp;A38)</x:f>
        <x:v>81750684.368755</x:v>
      </x:c>
      <x:c r="D38" s="78" t="n">
        <x:f>IF(AND(A38&gt;='Funding inputs'!$B$17,A38&lt;'Funding inputs'!$B$17+'Funding inputs'!$B$18),Capital!$B$15*(1-Capital!$B$18)/'Funding inputs'!$B$18*(1+'Funding inputs'!$B$64)^(A38-'Funding inputs'!$B$15),0)</x:f>
        <x:v>0</x:v>
      </x:c>
      <x:c r="E38" s="69" t="n">
        <x:f>G37</x:f>
        <x:v>0</x:v>
      </x:c>
      <x:c r="F38" s="69" t="n">
        <x:f>MIN(D38,E38+B38)</x:f>
        <x:v>0</x:v>
      </x:c>
      <x:c r="G38" s="69" t="n">
        <x:f>MAX(0,E38+B38-F38)</x:f>
        <x:v>0</x:v>
      </x:c>
      <x:c r="H38" s="69" t="n">
        <x:f>D38-F38</x:f>
        <x:v>0</x:v>
      </x:c>
      <x:c r="I38" s="69" t="n">
        <x:f>SUMIF($A$5:$A$7,A38,$C$5:$C$7)</x:f>
        <x:v>0</x:v>
      </x:c>
      <x:c r="J38" s="69" t="n">
        <x:f>M37</x:f>
        <x:v>420040447.65858567</x:v>
      </x:c>
      <x:c r="K38" s="78" t="n">
        <x:f>(J38+I38)*'Funding inputs'!$B$20</x:f>
        <x:v>21002022.382929284</x:v>
      </x:c>
      <x:c r="L38" s="69" t="n">
        <x:f>C38-K38</x:f>
        <x:v>60748661.98582572</x:v>
      </x:c>
      <x:c r="M38" s="69" t="n">
        <x:f>MAX(0,J38+I38-L38)</x:f>
        <x:v>359291785.67275995</x:v>
      </x:c>
    </x:row>
    <x:row r="39" ht="25" customHeight="1">
      <x:c r="A39" s="87" t="n">
        <x:f>'Funding inputs'!$B$15+22</x:f>
        <x:v>2048</x:v>
      </x:c>
      <x:c r="B39" s="70" t="n">
        <x:f>SUMIF($A$5:$A$7,A39,$D$5:$D$7)</x:f>
        <x:v>0</x:v>
      </x:c>
      <x:c r="C39" s="70" t="n">
        <x:f>SUMIFS($E$5:$E$7,$A$5:$A$7,"&lt;="&amp;A39,$G$5:$G$7,"&gt;="&amp;A39)</x:f>
        <x:v>58414618.15981808</x:v>
      </x:c>
      <x:c r="D39" s="91" t="n">
        <x:f>IF(AND(A39&gt;='Funding inputs'!$B$17,A39&lt;'Funding inputs'!$B$17+'Funding inputs'!$B$18),Capital!$B$15*(1-Capital!$B$18)/'Funding inputs'!$B$18*(1+'Funding inputs'!$B$64)^(A39-'Funding inputs'!$B$15),0)</x:f>
        <x:v>0</x:v>
      </x:c>
      <x:c r="E39" s="70" t="n">
        <x:f>G38</x:f>
        <x:v>0</x:v>
      </x:c>
      <x:c r="F39" s="70" t="n">
        <x:f>MIN(D39,E39+B39)</x:f>
        <x:v>0</x:v>
      </x:c>
      <x:c r="G39" s="70" t="n">
        <x:f>MAX(0,E39+B39-F39)</x:f>
        <x:v>0</x:v>
      </x:c>
      <x:c r="H39" s="70" t="n">
        <x:f>D39-F39</x:f>
        <x:v>0</x:v>
      </x:c>
      <x:c r="I39" s="70" t="n">
        <x:f>SUMIF($A$5:$A$7,A39,$C$5:$C$7)</x:f>
        <x:v>0</x:v>
      </x:c>
      <x:c r="J39" s="70" t="n">
        <x:f>M38</x:f>
        <x:v>359291785.67275995</x:v>
      </x:c>
      <x:c r="K39" s="91" t="n">
        <x:f>(J39+I39)*'Funding inputs'!$B$20</x:f>
        <x:v>17964589.283637997</x:v>
      </x:c>
      <x:c r="L39" s="70" t="n">
        <x:f>C39-K39</x:f>
        <x:v>40450028.87618008</x:v>
      </x:c>
      <x:c r="M39" s="70" t="n">
        <x:f>MAX(0,J39+I39-L39)</x:f>
        <x:v>318841756.79657984</x:v>
      </x:c>
    </x:row>
    <x:row r="40" ht="25" customHeight="1">
      <x:c r="A40" s="61" t="n">
        <x:f>'Funding inputs'!$B$15+23</x:f>
        <x:v>2049</x:v>
      </x:c>
      <x:c r="B40" s="69" t="n">
        <x:f>SUMIF($A$5:$A$7,A40,$D$5:$D$7)</x:f>
        <x:v>0</x:v>
      </x:c>
      <x:c r="C40" s="69" t="n">
        <x:f>SUMIFS($E$5:$E$7,$A$5:$A$7,"&lt;="&amp;A40,$G$5:$G$7,"&gt;="&amp;A40)</x:f>
        <x:v>58414618.15981808</x:v>
      </x:c>
      <x:c r="D40" s="78" t="n">
        <x:f>IF(AND(A40&gt;='Funding inputs'!$B$17,A40&lt;'Funding inputs'!$B$17+'Funding inputs'!$B$18),Capital!$B$15*(1-Capital!$B$18)/'Funding inputs'!$B$18*(1+'Funding inputs'!$B$64)^(A40-'Funding inputs'!$B$15),0)</x:f>
        <x:v>0</x:v>
      </x:c>
      <x:c r="E40" s="69" t="n">
        <x:f>G39</x:f>
        <x:v>0</x:v>
      </x:c>
      <x:c r="F40" s="69" t="n">
        <x:f>MIN(D40,E40+B40)</x:f>
        <x:v>0</x:v>
      </x:c>
      <x:c r="G40" s="69" t="n">
        <x:f>MAX(0,E40+B40-F40)</x:f>
        <x:v>0</x:v>
      </x:c>
      <x:c r="H40" s="69" t="n">
        <x:f>D40-F40</x:f>
        <x:v>0</x:v>
      </x:c>
      <x:c r="I40" s="69" t="n">
        <x:f>SUMIF($A$5:$A$7,A40,$C$5:$C$7)</x:f>
        <x:v>0</x:v>
      </x:c>
      <x:c r="J40" s="69" t="n">
        <x:f>M39</x:f>
        <x:v>318841756.79657984</x:v>
      </x:c>
      <x:c r="K40" s="78" t="n">
        <x:f>(J40+I40)*'Funding inputs'!$B$20</x:f>
        <x:v>15942087.839828992</x:v>
      </x:c>
      <x:c r="L40" s="69" t="n">
        <x:f>C40-K40</x:f>
        <x:v>42472530.31998909</x:v>
      </x:c>
      <x:c r="M40" s="69" t="n">
        <x:f>MAX(0,J40+I40-L40)</x:f>
        <x:v>276369226.47659075</x:v>
      </x:c>
    </x:row>
    <x:row r="41" ht="25" customHeight="1">
      <x:c r="A41" s="87" t="n">
        <x:f>'Funding inputs'!$B$15+24</x:f>
        <x:v>2050</x:v>
      </x:c>
      <x:c r="B41" s="70" t="n">
        <x:f>SUMIF($A$5:$A$7,A41,$D$5:$D$7)</x:f>
        <x:v>0</x:v>
      </x:c>
      <x:c r="C41" s="70" t="n">
        <x:f>SUMIFS($E$5:$E$7,$A$5:$A$7,"&lt;="&amp;A41,$G$5:$G$7,"&gt;="&amp;A41)</x:f>
        <x:v>58414618.15981808</x:v>
      </x:c>
      <x:c r="D41" s="91" t="n">
        <x:f>IF(AND(A41&gt;='Funding inputs'!$B$17,A41&lt;'Funding inputs'!$B$17+'Funding inputs'!$B$18),Capital!$B$15*(1-Capital!$B$18)/'Funding inputs'!$B$18*(1+'Funding inputs'!$B$64)^(A41-'Funding inputs'!$B$15),0)</x:f>
        <x:v>0</x:v>
      </x:c>
      <x:c r="E41" s="70" t="n">
        <x:f>G40</x:f>
        <x:v>0</x:v>
      </x:c>
      <x:c r="F41" s="70" t="n">
        <x:f>MIN(D41,E41+B41)</x:f>
        <x:v>0</x:v>
      </x:c>
      <x:c r="G41" s="70" t="n">
        <x:f>MAX(0,E41+B41-F41)</x:f>
        <x:v>0</x:v>
      </x:c>
      <x:c r="H41" s="70" t="n">
        <x:f>D41-F41</x:f>
        <x:v>0</x:v>
      </x:c>
      <x:c r="I41" s="70" t="n">
        <x:f>SUMIF($A$5:$A$7,A41,$C$5:$C$7)</x:f>
        <x:v>0</x:v>
      </x:c>
      <x:c r="J41" s="70" t="n">
        <x:f>M40</x:f>
        <x:v>276369226.47659075</x:v>
      </x:c>
      <x:c r="K41" s="91" t="n">
        <x:f>(J41+I41)*'Funding inputs'!$B$20</x:f>
        <x:v>13818461.32382954</x:v>
      </x:c>
      <x:c r="L41" s="70" t="n">
        <x:f>C41-K41</x:f>
        <x:v>44596156.835988544</x:v>
      </x:c>
      <x:c r="M41" s="70" t="n">
        <x:f>MAX(0,J41+I41-L41)</x:f>
        <x:v>231773069.6406022</x:v>
      </x:c>
    </x:row>
    <x:row r="42" ht="25" customHeight="1">
      <x:c r="A42" s="61" t="n">
        <x:f>'Funding inputs'!$B$15+25</x:f>
        <x:v>2051</x:v>
      </x:c>
      <x:c r="B42" s="69" t="n">
        <x:f>SUMIF($A$5:$A$7,A42,$D$5:$D$7)</x:f>
        <x:v>0</x:v>
      </x:c>
      <x:c r="C42" s="69" t="n">
        <x:f>SUMIFS($E$5:$E$7,$A$5:$A$7,"&lt;="&amp;A42,$G$5:$G$7,"&gt;="&amp;A42)</x:f>
        <x:v>58414618.15981808</x:v>
      </x:c>
      <x:c r="D42" s="78" t="n">
        <x:f>IF(AND(A42&gt;='Funding inputs'!$B$17,A42&lt;'Funding inputs'!$B$17+'Funding inputs'!$B$18),Capital!$B$15*(1-Capital!$B$18)/'Funding inputs'!$B$18*(1+'Funding inputs'!$B$64)^(A42-'Funding inputs'!$B$15),0)</x:f>
        <x:v>0</x:v>
      </x:c>
      <x:c r="E42" s="69" t="n">
        <x:f>G41</x:f>
        <x:v>0</x:v>
      </x:c>
      <x:c r="F42" s="69" t="n">
        <x:f>MIN(D42,E42+B42)</x:f>
        <x:v>0</x:v>
      </x:c>
      <x:c r="G42" s="69" t="n">
        <x:f>MAX(0,E42+B42-F42)</x:f>
        <x:v>0</x:v>
      </x:c>
      <x:c r="H42" s="69" t="n">
        <x:f>D42-F42</x:f>
        <x:v>0</x:v>
      </x:c>
      <x:c r="I42" s="69" t="n">
        <x:f>SUMIF($A$5:$A$7,A42,$C$5:$C$7)</x:f>
        <x:v>0</x:v>
      </x:c>
      <x:c r="J42" s="69" t="n">
        <x:f>M41</x:f>
        <x:v>231773069.6406022</x:v>
      </x:c>
      <x:c r="K42" s="78" t="n">
        <x:f>(J42+I42)*'Funding inputs'!$B$20</x:f>
        <x:v>11588653.48203011</x:v>
      </x:c>
      <x:c r="L42" s="69" t="n">
        <x:f>C42-K42</x:f>
        <x:v>46825964.677787974</x:v>
      </x:c>
      <x:c r="M42" s="69" t="n">
        <x:f>MAX(0,J42+I42-L42)</x:f>
        <x:v>184947104.9628142</x:v>
      </x:c>
    </x:row>
    <x:row r="43" ht="25" customHeight="1">
      <x:c r="A43" s="87" t="n">
        <x:f>'Funding inputs'!$B$15+26</x:f>
        <x:v>2052</x:v>
      </x:c>
      <x:c r="B43" s="70" t="n">
        <x:f>SUMIF($A$5:$A$7,A43,$D$5:$D$7)</x:f>
        <x:v>0</x:v>
      </x:c>
      <x:c r="C43" s="70" t="n">
        <x:f>SUMIFS($E$5:$E$7,$A$5:$A$7,"&lt;="&amp;A43,$G$5:$G$7,"&gt;="&amp;A43)</x:f>
        <x:v>58414618.15981808</x:v>
      </x:c>
      <x:c r="D43" s="91" t="n">
        <x:f>IF(AND(A43&gt;='Funding inputs'!$B$17,A43&lt;'Funding inputs'!$B$17+'Funding inputs'!$B$18),Capital!$B$15*(1-Capital!$B$18)/'Funding inputs'!$B$18*(1+'Funding inputs'!$B$64)^(A43-'Funding inputs'!$B$15),0)</x:f>
        <x:v>0</x:v>
      </x:c>
      <x:c r="E43" s="70" t="n">
        <x:f>G42</x:f>
        <x:v>0</x:v>
      </x:c>
      <x:c r="F43" s="70" t="n">
        <x:f>MIN(D43,E43+B43)</x:f>
        <x:v>0</x:v>
      </x:c>
      <x:c r="G43" s="70" t="n">
        <x:f>MAX(0,E43+B43-F43)</x:f>
        <x:v>0</x:v>
      </x:c>
      <x:c r="H43" s="70" t="n">
        <x:f>D43-F43</x:f>
        <x:v>0</x:v>
      </x:c>
      <x:c r="I43" s="70" t="n">
        <x:f>SUMIF($A$5:$A$7,A43,$C$5:$C$7)</x:f>
        <x:v>0</x:v>
      </x:c>
      <x:c r="J43" s="70" t="n">
        <x:f>M42</x:f>
        <x:v>184947104.9628142</x:v>
      </x:c>
      <x:c r="K43" s="91" t="n">
        <x:f>(J43+I43)*'Funding inputs'!$B$20</x:f>
        <x:v>9247355.248140711</x:v>
      </x:c>
      <x:c r="L43" s="70" t="n">
        <x:f>C43-K43</x:f>
        <x:v>49167262.911677375</x:v>
      </x:c>
      <x:c r="M43" s="70" t="n">
        <x:f>MAX(0,J43+I43-L43)</x:f>
        <x:v>135779842.05113685</x:v>
      </x:c>
    </x:row>
    <x:row r="44" ht="25" customHeight="1">
      <x:c r="A44" s="61" t="n">
        <x:f>'Funding inputs'!$B$15+27</x:f>
        <x:v>2053</x:v>
      </x:c>
      <x:c r="B44" s="69" t="n">
        <x:f>SUMIF($A$5:$A$7,A44,$D$5:$D$7)</x:f>
        <x:v>0</x:v>
      </x:c>
      <x:c r="C44" s="69" t="n">
        <x:f>SUMIFS($E$5:$E$7,$A$5:$A$7,"&lt;="&amp;A44,$G$5:$G$7,"&gt;="&amp;A44)</x:f>
        <x:v>31361721.607649222</x:v>
      </x:c>
      <x:c r="D44" s="78" t="n">
        <x:f>IF(AND(A44&gt;='Funding inputs'!$B$17,A44&lt;'Funding inputs'!$B$17+'Funding inputs'!$B$18),Capital!$B$15*(1-Capital!$B$18)/'Funding inputs'!$B$18*(1+'Funding inputs'!$B$64)^(A44-'Funding inputs'!$B$15),0)</x:f>
        <x:v>0</x:v>
      </x:c>
      <x:c r="E44" s="69" t="n">
        <x:f>G43</x:f>
        <x:v>0</x:v>
      </x:c>
      <x:c r="F44" s="69" t="n">
        <x:f>MIN(D44,E44+B44)</x:f>
        <x:v>0</x:v>
      </x:c>
      <x:c r="G44" s="69" t="n">
        <x:f>MAX(0,E44+B44-F44)</x:f>
        <x:v>0</x:v>
      </x:c>
      <x:c r="H44" s="69" t="n">
        <x:f>D44-F44</x:f>
        <x:v>0</x:v>
      </x:c>
      <x:c r="I44" s="69" t="n">
        <x:f>SUMIF($A$5:$A$7,A44,$C$5:$C$7)</x:f>
        <x:v>0</x:v>
      </x:c>
      <x:c r="J44" s="69" t="n">
        <x:f>M43</x:f>
        <x:v>135779842.05113685</x:v>
      </x:c>
      <x:c r="K44" s="78" t="n">
        <x:f>(J44+I44)*'Funding inputs'!$B$20</x:f>
        <x:v>6788992.102556843</x:v>
      </x:c>
      <x:c r="L44" s="69" t="n">
        <x:f>C44-K44</x:f>
        <x:v>24572729.50509238</x:v>
      </x:c>
      <x:c r="M44" s="69" t="n">
        <x:f>MAX(0,J44+I44-L44)</x:f>
        <x:v>111207112.54604447</x:v>
      </x:c>
    </x:row>
    <x:row r="45" ht="25" customHeight="1">
      <x:c r="A45" s="87" t="n">
        <x:f>'Funding inputs'!$B$15+28</x:f>
        <x:v>2054</x:v>
      </x:c>
      <x:c r="B45" s="70" t="n">
        <x:f>SUMIF($A$5:$A$7,A45,$D$5:$D$7)</x:f>
        <x:v>0</x:v>
      </x:c>
      <x:c r="C45" s="70" t="n">
        <x:f>SUMIFS($E$5:$E$7,$A$5:$A$7,"&lt;="&amp;A45,$G$5:$G$7,"&gt;="&amp;A45)</x:f>
        <x:v>31361721.607649222</x:v>
      </x:c>
      <x:c r="D45" s="91" t="n">
        <x:f>IF(AND(A45&gt;='Funding inputs'!$B$17,A45&lt;'Funding inputs'!$B$17+'Funding inputs'!$B$18),Capital!$B$15*(1-Capital!$B$18)/'Funding inputs'!$B$18*(1+'Funding inputs'!$B$64)^(A45-'Funding inputs'!$B$15),0)</x:f>
        <x:v>0</x:v>
      </x:c>
      <x:c r="E45" s="70" t="n">
        <x:f>G44</x:f>
        <x:v>0</x:v>
      </x:c>
      <x:c r="F45" s="70" t="n">
        <x:f>MIN(D45,E45+B45)</x:f>
        <x:v>0</x:v>
      </x:c>
      <x:c r="G45" s="70" t="n">
        <x:f>MAX(0,E45+B45-F45)</x:f>
        <x:v>0</x:v>
      </x:c>
      <x:c r="H45" s="70" t="n">
        <x:f>D45-F45</x:f>
        <x:v>0</x:v>
      </x:c>
      <x:c r="I45" s="70" t="n">
        <x:f>SUMIF($A$5:$A$7,A45,$C$5:$C$7)</x:f>
        <x:v>0</x:v>
      </x:c>
      <x:c r="J45" s="70" t="n">
        <x:f>M44</x:f>
        <x:v>111207112.54604447</x:v>
      </x:c>
      <x:c r="K45" s="91" t="n">
        <x:f>(J45+I45)*'Funding inputs'!$B$20</x:f>
        <x:v>5560355.627302224</x:v>
      </x:c>
      <x:c r="L45" s="70" t="n">
        <x:f>C45-K45</x:f>
        <x:v>25801365.980347</x:v>
      </x:c>
      <x:c r="M45" s="70" t="n">
        <x:f>MAX(0,J45+I45-L45)</x:f>
        <x:v>85405746.56569746</x:v>
      </x:c>
    </x:row>
    <x:row r="46" ht="25" customHeight="1">
      <x:c r="A46" s="61" t="n">
        <x:f>'Funding inputs'!$B$15+29</x:f>
        <x:v>2055</x:v>
      </x:c>
      <x:c r="B46" s="69" t="n">
        <x:f>SUMIF($A$5:$A$7,A46,$D$5:$D$7)</x:f>
        <x:v>0</x:v>
      </x:c>
      <x:c r="C46" s="69" t="n">
        <x:f>SUMIFS($E$5:$E$7,$A$5:$A$7,"&lt;="&amp;A46,$G$5:$G$7,"&gt;="&amp;A46)</x:f>
        <x:v>31361721.607649222</x:v>
      </x:c>
      <x:c r="D46" s="78" t="n">
        <x:f>IF(AND(A46&gt;='Funding inputs'!$B$17,A46&lt;'Funding inputs'!$B$17+'Funding inputs'!$B$18),Capital!$B$15*(1-Capital!$B$18)/'Funding inputs'!$B$18*(1+'Funding inputs'!$B$64)^(A46-'Funding inputs'!$B$15),0)</x:f>
        <x:v>0</x:v>
      </x:c>
      <x:c r="E46" s="69" t="n">
        <x:f>G45</x:f>
        <x:v>0</x:v>
      </x:c>
      <x:c r="F46" s="69" t="n">
        <x:f>MIN(D46,E46+B46)</x:f>
        <x:v>0</x:v>
      </x:c>
      <x:c r="G46" s="69" t="n">
        <x:f>MAX(0,E46+B46-F46)</x:f>
        <x:v>0</x:v>
      </x:c>
      <x:c r="H46" s="69" t="n">
        <x:f>D46-F46</x:f>
        <x:v>0</x:v>
      </x:c>
      <x:c r="I46" s="69" t="n">
        <x:f>SUMIF($A$5:$A$7,A46,$C$5:$C$7)</x:f>
        <x:v>0</x:v>
      </x:c>
      <x:c r="J46" s="69" t="n">
        <x:f>M45</x:f>
        <x:v>85405746.56569746</x:v>
      </x:c>
      <x:c r="K46" s="78" t="n">
        <x:f>(J46+I46)*'Funding inputs'!$B$20</x:f>
        <x:v>4270287.328284874</x:v>
      </x:c>
      <x:c r="L46" s="69" t="n">
        <x:f>C46-K46</x:f>
        <x:v>27091434.279364347</x:v>
      </x:c>
      <x:c r="M46" s="69" t="n">
        <x:f>MAX(0,J46+I46-L46)</x:f>
        <x:v>58314312.286333114</x:v>
      </x:c>
    </x:row>
    <x:row r="47" ht="25" customHeight="1">
      <x:c r="A47" s="87" t="n">
        <x:f>'Funding inputs'!$B$15+30</x:f>
        <x:v>2056</x:v>
      </x:c>
      <x:c r="B47" s="70" t="n">
        <x:f>SUMIF($A$5:$A$7,A47,$D$5:$D$7)</x:f>
        <x:v>0</x:v>
      </x:c>
      <x:c r="C47" s="70" t="n">
        <x:f>SUMIFS($E$5:$E$7,$A$5:$A$7,"&lt;="&amp;A47,$G$5:$G$7,"&gt;="&amp;A47)</x:f>
        <x:v>31361721.607649222</x:v>
      </x:c>
      <x:c r="D47" s="91" t="n">
        <x:f>IF(AND(A47&gt;='Funding inputs'!$B$17,A47&lt;'Funding inputs'!$B$17+'Funding inputs'!$B$18),Capital!$B$15*(1-Capital!$B$18)/'Funding inputs'!$B$18*(1+'Funding inputs'!$B$64)^(A47-'Funding inputs'!$B$15),0)</x:f>
        <x:v>0</x:v>
      </x:c>
      <x:c r="E47" s="70" t="n">
        <x:f>G46</x:f>
        <x:v>0</x:v>
      </x:c>
      <x:c r="F47" s="70" t="n">
        <x:f>MIN(D47,E47+B47)</x:f>
        <x:v>0</x:v>
      </x:c>
      <x:c r="G47" s="70" t="n">
        <x:f>MAX(0,E47+B47-F47)</x:f>
        <x:v>0</x:v>
      </x:c>
      <x:c r="H47" s="70" t="n">
        <x:f>D47-F47</x:f>
        <x:v>0</x:v>
      </x:c>
      <x:c r="I47" s="70" t="n">
        <x:f>SUMIF($A$5:$A$7,A47,$C$5:$C$7)</x:f>
        <x:v>0</x:v>
      </x:c>
      <x:c r="J47" s="70" t="n">
        <x:f>M46</x:f>
        <x:v>58314312.286333114</x:v>
      </x:c>
      <x:c r="K47" s="91" t="n">
        <x:f>(J47+I47)*'Funding inputs'!$B$20</x:f>
        <x:v>2915715.614316656</x:v>
      </x:c>
      <x:c r="L47" s="70" t="n">
        <x:f>C47-K47</x:f>
        <x:v>28446005.993332565</x:v>
      </x:c>
      <x:c r="M47" s="70" t="n">
        <x:f>MAX(0,J47+I47-L47)</x:f>
        <x:v>29868306.29300055</x:v>
      </x:c>
    </x:row>
    <x:row r="48" ht="25" customHeight="1">
      <x:c r="A48" s="61" t="n">
        <x:f>'Funding inputs'!$B$15+31</x:f>
        <x:v>2057</x:v>
      </x:c>
      <x:c r="B48" s="69" t="n">
        <x:f>SUMIF($A$5:$A$7,A48,$D$5:$D$7)</x:f>
        <x:v>0</x:v>
      </x:c>
      <x:c r="C48" s="69" t="n">
        <x:f>SUMIFS($E$5:$E$7,$A$5:$A$7,"&lt;="&amp;A48,$G$5:$G$7,"&gt;="&amp;A48)</x:f>
        <x:v>31361721.607649222</x:v>
      </x:c>
      <x:c r="D48" s="78" t="n">
        <x:f>IF(AND(A48&gt;='Funding inputs'!$B$17,A48&lt;'Funding inputs'!$B$17+'Funding inputs'!$B$18),Capital!$B$15*(1-Capital!$B$18)/'Funding inputs'!$B$18*(1+'Funding inputs'!$B$64)^(A48-'Funding inputs'!$B$15),0)</x:f>
        <x:v>0</x:v>
      </x:c>
      <x:c r="E48" s="69" t="n">
        <x:f>G47</x:f>
        <x:v>0</x:v>
      </x:c>
      <x:c r="F48" s="69" t="n">
        <x:f>MIN(D48,E48+B48)</x:f>
        <x:v>0</x:v>
      </x:c>
      <x:c r="G48" s="69" t="n">
        <x:f>MAX(0,E48+B48-F48)</x:f>
        <x:v>0</x:v>
      </x:c>
      <x:c r="H48" s="69" t="n">
        <x:f>D48-F48</x:f>
        <x:v>0</x:v>
      </x:c>
      <x:c r="I48" s="69" t="n">
        <x:f>SUMIF($A$5:$A$7,A48,$C$5:$C$7)</x:f>
        <x:v>0</x:v>
      </x:c>
      <x:c r="J48" s="69" t="n">
        <x:f>M47</x:f>
        <x:v>29868306.29300055</x:v>
      </x:c>
      <x:c r="K48" s="78" t="n">
        <x:f>(J48+I48)*'Funding inputs'!$B$20</x:f>
        <x:v>1493415.3146500275</x:v>
      </x:c>
      <x:c r="L48" s="69" t="n">
        <x:f>C48-K48</x:f>
        <x:v>29868306.292999193</x:v>
      </x:c>
      <x:c r="M48" s="69" t="n">
        <x:f>MAX(0,J48+I48-L48)</x:f>
        <x:v>0.0000013560056686401367</x:v>
      </x:c>
    </x:row>
    <x:row r="49" ht="25" customHeight="1">
      <x:c r="A49" s="87" t="n">
        <x:f>'Funding inputs'!$B$15+32</x:f>
        <x:v>2058</x:v>
      </x:c>
      <x:c r="B49" s="70" t="n">
        <x:f>SUMIF($A$5:$A$7,A49,$D$5:$D$7)</x:f>
        <x:v>0</x:v>
      </x:c>
      <x:c r="C49" s="70" t="n">
        <x:f>SUMIFS($E$5:$E$7,$A$5:$A$7,"&lt;="&amp;A49,$G$5:$G$7,"&gt;="&amp;A49)</x:f>
        <x:v>0</x:v>
      </x:c>
      <x:c r="D49" s="91" t="n">
        <x:f>IF(AND(A49&gt;='Funding inputs'!$B$17,A49&lt;'Funding inputs'!$B$17+'Funding inputs'!$B$18),Capital!$B$15*(1-Capital!$B$18)/'Funding inputs'!$B$18*(1+'Funding inputs'!$B$64)^(A49-'Funding inputs'!$B$15),0)</x:f>
        <x:v>0</x:v>
      </x:c>
      <x:c r="E49" s="70" t="n">
        <x:f>G48</x:f>
        <x:v>0</x:v>
      </x:c>
      <x:c r="F49" s="70" t="n">
        <x:f>MIN(D49,E49+B49)</x:f>
        <x:v>0</x:v>
      </x:c>
      <x:c r="G49" s="70" t="n">
        <x:f>MAX(0,E49+B49-F49)</x:f>
        <x:v>0</x:v>
      </x:c>
      <x:c r="H49" s="70" t="n">
        <x:f>D49-F49</x:f>
        <x:v>0</x:v>
      </x:c>
      <x:c r="I49" s="70" t="n">
        <x:f>SUMIF($A$5:$A$7,A49,$C$5:$C$7)</x:f>
        <x:v>0</x:v>
      </x:c>
      <x:c r="J49" s="70" t="n">
        <x:f>M48</x:f>
        <x:v>0.0000013560056686401367</x:v>
      </x:c>
      <x:c r="K49" s="91" t="n">
        <x:f>(J49+I49)*'Funding inputs'!$B$20</x:f>
        <x:v>6.780028343200683e-8</x:v>
      </x:c>
      <x:c r="L49" s="70" t="n">
        <x:f>C49-K49</x:f>
        <x:v>-6.780028343200683e-8</x:v>
      </x:c>
      <x:c r="M49" s="70" t="n">
        <x:f>MAX(0,J49+I49-L49)</x:f>
        <x:v>0.0000014238059520721435</x:v>
      </x:c>
    </x:row>
    <x:row r="50" ht="25" customHeight="1">
      <x:c r="A50" s="61" t="n">
        <x:f>'Funding inputs'!$B$15+33</x:f>
        <x:v>2059</x:v>
      </x:c>
      <x:c r="B50" s="69" t="n">
        <x:f>SUMIF($A$5:$A$7,A50,$D$5:$D$7)</x:f>
        <x:v>0</x:v>
      </x:c>
      <x:c r="C50" s="69" t="n">
        <x:f>SUMIFS($E$5:$E$7,$A$5:$A$7,"&lt;="&amp;A50,$G$5:$G$7,"&gt;="&amp;A50)</x:f>
        <x:v>0</x:v>
      </x:c>
      <x:c r="D50" s="78" t="n">
        <x:f>IF(AND(A50&gt;='Funding inputs'!$B$17,A50&lt;'Funding inputs'!$B$17+'Funding inputs'!$B$18),Capital!$B$15*(1-Capital!$B$18)/'Funding inputs'!$B$18*(1+'Funding inputs'!$B$64)^(A50-'Funding inputs'!$B$15),0)</x:f>
        <x:v>0</x:v>
      </x:c>
      <x:c r="E50" s="69" t="n">
        <x:f>G49</x:f>
        <x:v>0</x:v>
      </x:c>
      <x:c r="F50" s="69" t="n">
        <x:f>MIN(D50,E50+B50)</x:f>
        <x:v>0</x:v>
      </x:c>
      <x:c r="G50" s="69" t="n">
        <x:f>MAX(0,E50+B50-F50)</x:f>
        <x:v>0</x:v>
      </x:c>
      <x:c r="H50" s="69" t="n">
        <x:f>D50-F50</x:f>
        <x:v>0</x:v>
      </x:c>
      <x:c r="I50" s="69" t="n">
        <x:f>SUMIF($A$5:$A$7,A50,$C$5:$C$7)</x:f>
        <x:v>0</x:v>
      </x:c>
      <x:c r="J50" s="69" t="n">
        <x:f>M49</x:f>
        <x:v>0.0000014238059520721435</x:v>
      </x:c>
      <x:c r="K50" s="78" t="n">
        <x:f>(J50+I50)*'Funding inputs'!$B$20</x:f>
        <x:v>7.119029760360718e-8</x:v>
      </x:c>
      <x:c r="L50" s="69" t="n">
        <x:f>C50-K50</x:f>
        <x:v>-7.119029760360718e-8</x:v>
      </x:c>
      <x:c r="M50" s="69" t="n">
        <x:f>MAX(0,J50+I50-L50)</x:f>
        <x:v>0.0000014949962496757507</x:v>
      </x:c>
    </x:row>
    <x:row r="51" ht="25" customHeight="1">
      <x:c r="A51" s="87" t="n">
        <x:f>'Funding inputs'!$B$15+34</x:f>
        <x:v>2060</x:v>
      </x:c>
      <x:c r="B51" s="70" t="n">
        <x:f>SUMIF($A$5:$A$7,A51,$D$5:$D$7)</x:f>
        <x:v>0</x:v>
      </x:c>
      <x:c r="C51" s="70" t="n">
        <x:f>SUMIFS($E$5:$E$7,$A$5:$A$7,"&lt;="&amp;A51,$G$5:$G$7,"&gt;="&amp;A51)</x:f>
        <x:v>0</x:v>
      </x:c>
      <x:c r="D51" s="91" t="n">
        <x:f>IF(AND(A51&gt;='Funding inputs'!$B$17,A51&lt;'Funding inputs'!$B$17+'Funding inputs'!$B$18),Capital!$B$15*(1-Capital!$B$18)/'Funding inputs'!$B$18*(1+'Funding inputs'!$B$64)^(A51-'Funding inputs'!$B$15),0)</x:f>
        <x:v>0</x:v>
      </x:c>
      <x:c r="E51" s="70" t="n">
        <x:f>G50</x:f>
        <x:v>0</x:v>
      </x:c>
      <x:c r="F51" s="70" t="n">
        <x:f>MIN(D51,E51+B51)</x:f>
        <x:v>0</x:v>
      </x:c>
      <x:c r="G51" s="70" t="n">
        <x:f>MAX(0,E51+B51-F51)</x:f>
        <x:v>0</x:v>
      </x:c>
      <x:c r="H51" s="70" t="n">
        <x:f>D51-F51</x:f>
        <x:v>0</x:v>
      </x:c>
      <x:c r="I51" s="70" t="n">
        <x:f>SUMIF($A$5:$A$7,A51,$C$5:$C$7)</x:f>
        <x:v>0</x:v>
      </x:c>
      <x:c r="J51" s="70" t="n">
        <x:f>M50</x:f>
        <x:v>0.0000014949962496757507</x:v>
      </x:c>
      <x:c r="K51" s="91" t="n">
        <x:f>(J51+I51)*'Funding inputs'!$B$20</x:f>
        <x:v>7.474981248378754e-8</x:v>
      </x:c>
      <x:c r="L51" s="70" t="n">
        <x:f>C51-K51</x:f>
        <x:v>-7.474981248378754e-8</x:v>
      </x:c>
      <x:c r="M51" s="70" t="n">
        <x:f>MAX(0,J51+I51-L51)</x:f>
        <x:v>0.0000015697460621595382</x:v>
      </x:c>
    </x:row>
    <x:row r="52" ht="25" customHeight="1">
      <x:c r="A52" s="61" t="n">
        <x:f>'Funding inputs'!$B$15+35</x:f>
        <x:v>2061</x:v>
      </x:c>
      <x:c r="B52" s="69" t="n">
        <x:f>SUMIF($A$5:$A$7,A52,$D$5:$D$7)</x:f>
        <x:v>0</x:v>
      </x:c>
      <x:c r="C52" s="69" t="n">
        <x:f>SUMIFS($E$5:$E$7,$A$5:$A$7,"&lt;="&amp;A52,$G$5:$G$7,"&gt;="&amp;A52)</x:f>
        <x:v>0</x:v>
      </x:c>
      <x:c r="D52" s="78" t="n">
        <x:f>IF(AND(A52&gt;='Funding inputs'!$B$17,A52&lt;'Funding inputs'!$B$17+'Funding inputs'!$B$18),Capital!$B$15*(1-Capital!$B$18)/'Funding inputs'!$B$18*(1+'Funding inputs'!$B$64)^(A52-'Funding inputs'!$B$15),0)</x:f>
        <x:v>0</x:v>
      </x:c>
      <x:c r="E52" s="69" t="n">
        <x:f>G51</x:f>
        <x:v>0</x:v>
      </x:c>
      <x:c r="F52" s="69" t="n">
        <x:f>MIN(D52,E52+B52)</x:f>
        <x:v>0</x:v>
      </x:c>
      <x:c r="G52" s="69" t="n">
        <x:f>MAX(0,E52+B52-F52)</x:f>
        <x:v>0</x:v>
      </x:c>
      <x:c r="H52" s="69" t="n">
        <x:f>D52-F52</x:f>
        <x:v>0</x:v>
      </x:c>
      <x:c r="I52" s="69" t="n">
        <x:f>SUMIF($A$5:$A$7,A52,$C$5:$C$7)</x:f>
        <x:v>0</x:v>
      </x:c>
      <x:c r="J52" s="69" t="n">
        <x:f>M51</x:f>
        <x:v>0.0000015697460621595382</x:v>
      </x:c>
      <x:c r="K52" s="78" t="n">
        <x:f>(J52+I52)*'Funding inputs'!$B$20</x:f>
        <x:v>7.848730310797692e-8</x:v>
      </x:c>
      <x:c r="L52" s="69" t="n">
        <x:f>C52-K52</x:f>
        <x:v>-7.848730310797692e-8</x:v>
      </x:c>
      <x:c r="M52" s="69" t="n">
        <x:f>MAX(0,J52+I52-L52)</x:f>
        <x:v>0.0000016482333652675152</x:v>
      </x:c>
    </x:row>
    <x:row r="53" ht="25" customHeight="1">
      <x:c r="A53" s="87" t="n">
        <x:f>'Funding inputs'!$B$15+36</x:f>
        <x:v>2062</x:v>
      </x:c>
      <x:c r="B53" s="70" t="n">
        <x:f>SUMIF($A$5:$A$7,A53,$D$5:$D$7)</x:f>
        <x:v>0</x:v>
      </x:c>
      <x:c r="C53" s="70" t="n">
        <x:f>SUMIFS($E$5:$E$7,$A$5:$A$7,"&lt;="&amp;A53,$G$5:$G$7,"&gt;="&amp;A53)</x:f>
        <x:v>0</x:v>
      </x:c>
      <x:c r="D53" s="91" t="n">
        <x:f>IF(AND(A53&gt;='Funding inputs'!$B$17,A53&lt;'Funding inputs'!$B$17+'Funding inputs'!$B$18),Capital!$B$15*(1-Capital!$B$18)/'Funding inputs'!$B$18*(1+'Funding inputs'!$B$64)^(A53-'Funding inputs'!$B$15),0)</x:f>
        <x:v>0</x:v>
      </x:c>
      <x:c r="E53" s="70" t="n">
        <x:f>G52</x:f>
        <x:v>0</x:v>
      </x:c>
      <x:c r="F53" s="70" t="n">
        <x:f>MIN(D53,E53+B53)</x:f>
        <x:v>0</x:v>
      </x:c>
      <x:c r="G53" s="70" t="n">
        <x:f>MAX(0,E53+B53-F53)</x:f>
        <x:v>0</x:v>
      </x:c>
      <x:c r="H53" s="70" t="n">
        <x:f>D53-F53</x:f>
        <x:v>0</x:v>
      </x:c>
      <x:c r="I53" s="70" t="n">
        <x:f>SUMIF($A$5:$A$7,A53,$C$5:$C$7)</x:f>
        <x:v>0</x:v>
      </x:c>
      <x:c r="J53" s="70" t="n">
        <x:f>M52</x:f>
        <x:v>0.0000016482333652675152</x:v>
      </x:c>
      <x:c r="K53" s="91" t="n">
        <x:f>(J53+I53)*'Funding inputs'!$B$20</x:f>
        <x:v>8.241166826337576e-8</x:v>
      </x:c>
      <x:c r="L53" s="70" t="n">
        <x:f>C53-K53</x:f>
        <x:v>-8.241166826337576e-8</x:v>
      </x:c>
      <x:c r="M53" s="70" t="n">
        <x:f>MAX(0,J53+I53-L53)</x:f>
        <x:v>0.000001730645033530891</x:v>
      </x:c>
    </x:row>
    <x:row r="54" ht="25" customHeight="1">
      <x:c r="A54" s="61" t="n">
        <x:f>'Funding inputs'!$B$15+37</x:f>
        <x:v>2063</x:v>
      </x:c>
      <x:c r="B54" s="69" t="n">
        <x:f>SUMIF($A$5:$A$7,A54,$D$5:$D$7)</x:f>
        <x:v>0</x:v>
      </x:c>
      <x:c r="C54" s="69" t="n">
        <x:f>SUMIFS($E$5:$E$7,$A$5:$A$7,"&lt;="&amp;A54,$G$5:$G$7,"&gt;="&amp;A54)</x:f>
        <x:v>0</x:v>
      </x:c>
      <x:c r="D54" s="78" t="n">
        <x:f>IF(AND(A54&gt;='Funding inputs'!$B$17,A54&lt;'Funding inputs'!$B$17+'Funding inputs'!$B$18),Capital!$B$15*(1-Capital!$B$18)/'Funding inputs'!$B$18*(1+'Funding inputs'!$B$64)^(A54-'Funding inputs'!$B$15),0)</x:f>
        <x:v>0</x:v>
      </x:c>
      <x:c r="E54" s="69" t="n">
        <x:f>G53</x:f>
        <x:v>0</x:v>
      </x:c>
      <x:c r="F54" s="69" t="n">
        <x:f>MIN(D54,E54+B54)</x:f>
        <x:v>0</x:v>
      </x:c>
      <x:c r="G54" s="69" t="n">
        <x:f>MAX(0,E54+B54-F54)</x:f>
        <x:v>0</x:v>
      </x:c>
      <x:c r="H54" s="69" t="n">
        <x:f>D54-F54</x:f>
        <x:v>0</x:v>
      </x:c>
      <x:c r="I54" s="69" t="n">
        <x:f>SUMIF($A$5:$A$7,A54,$C$5:$C$7)</x:f>
        <x:v>0</x:v>
      </x:c>
      <x:c r="J54" s="69" t="n">
        <x:f>M53</x:f>
        <x:v>0.000001730645033530891</x:v>
      </x:c>
      <x:c r="K54" s="78" t="n">
        <x:f>(J54+I54)*'Funding inputs'!$B$20</x:f>
        <x:v>8.653225167654456e-8</x:v>
      </x:c>
      <x:c r="L54" s="69" t="n">
        <x:f>C54-K54</x:f>
        <x:v>-8.653225167654456e-8</x:v>
      </x:c>
      <x:c r="M54" s="69" t="n">
        <x:f>MAX(0,J54+I54-L54)</x:f>
        <x:v>0.0000018171772852074356</x:v>
      </x:c>
    </x:row>
    <x:row r="55" ht="25" customHeight="1">
      <x:c r="A55" s="87" t="n">
        <x:f>'Funding inputs'!$B$15+38</x:f>
        <x:v>2064</x:v>
      </x:c>
      <x:c r="B55" s="70" t="n">
        <x:f>SUMIF($A$5:$A$7,A55,$D$5:$D$7)</x:f>
        <x:v>0</x:v>
      </x:c>
      <x:c r="C55" s="70" t="n">
        <x:f>SUMIFS($E$5:$E$7,$A$5:$A$7,"&lt;="&amp;A55,$G$5:$G$7,"&gt;="&amp;A55)</x:f>
        <x:v>0</x:v>
      </x:c>
      <x:c r="D55" s="91" t="n">
        <x:f>IF(AND(A55&gt;='Funding inputs'!$B$17,A55&lt;'Funding inputs'!$B$17+'Funding inputs'!$B$18),Capital!$B$15*(1-Capital!$B$18)/'Funding inputs'!$B$18*(1+'Funding inputs'!$B$64)^(A55-'Funding inputs'!$B$15),0)</x:f>
        <x:v>0</x:v>
      </x:c>
      <x:c r="E55" s="70" t="n">
        <x:f>G54</x:f>
        <x:v>0</x:v>
      </x:c>
      <x:c r="F55" s="70" t="n">
        <x:f>MIN(D55,E55+B55)</x:f>
        <x:v>0</x:v>
      </x:c>
      <x:c r="G55" s="70" t="n">
        <x:f>MAX(0,E55+B55-F55)</x:f>
        <x:v>0</x:v>
      </x:c>
      <x:c r="H55" s="70" t="n">
        <x:f>D55-F55</x:f>
        <x:v>0</x:v>
      </x:c>
      <x:c r="I55" s="70" t="n">
        <x:f>SUMIF($A$5:$A$7,A55,$C$5:$C$7)</x:f>
        <x:v>0</x:v>
      </x:c>
      <x:c r="J55" s="70" t="n">
        <x:f>M54</x:f>
        <x:v>0.0000018171772852074356</x:v>
      </x:c>
      <x:c r="K55" s="91" t="n">
        <x:f>(J55+I55)*'Funding inputs'!$B$20</x:f>
        <x:v>9.085886426037179e-8</x:v>
      </x:c>
      <x:c r="L55" s="70" t="n">
        <x:f>C55-K55</x:f>
        <x:v>-9.085886426037179e-8</x:v>
      </x:c>
      <x:c r="M55" s="70" t="n">
        <x:f>MAX(0,J55+I55-L55)</x:f>
        <x:v>0.0000019080361494678073</x:v>
      </x:c>
    </x:row>
    <x:row r="56" ht="25" customHeight="1">
      <x:c r="A56" s="61" t="n">
        <x:f>'Funding inputs'!$B$15+39</x:f>
        <x:v>2065</x:v>
      </x:c>
      <x:c r="B56" s="69" t="n">
        <x:f>SUMIF($A$5:$A$7,A56,$D$5:$D$7)</x:f>
        <x:v>0</x:v>
      </x:c>
      <x:c r="C56" s="69" t="n">
        <x:f>SUMIFS($E$5:$E$7,$A$5:$A$7,"&lt;="&amp;A56,$G$5:$G$7,"&gt;="&amp;A56)</x:f>
        <x:v>0</x:v>
      </x:c>
      <x:c r="D56" s="78" t="n">
        <x:f>IF(AND(A56&gt;='Funding inputs'!$B$17,A56&lt;'Funding inputs'!$B$17+'Funding inputs'!$B$18),Capital!$B$15*(1-Capital!$B$18)/'Funding inputs'!$B$18*(1+'Funding inputs'!$B$64)^(A56-'Funding inputs'!$B$15),0)</x:f>
        <x:v>0</x:v>
      </x:c>
      <x:c r="E56" s="69" t="n">
        <x:f>G55</x:f>
        <x:v>0</x:v>
      </x:c>
      <x:c r="F56" s="69" t="n">
        <x:f>MIN(D56,E56+B56)</x:f>
        <x:v>0</x:v>
      </x:c>
      <x:c r="G56" s="69" t="n">
        <x:f>MAX(0,E56+B56-F56)</x:f>
        <x:v>0</x:v>
      </x:c>
      <x:c r="H56" s="69" t="n">
        <x:f>D56-F56</x:f>
        <x:v>0</x:v>
      </x:c>
      <x:c r="I56" s="69" t="n">
        <x:f>SUMIF($A$5:$A$7,A56,$C$5:$C$7)</x:f>
        <x:v>0</x:v>
      </x:c>
      <x:c r="J56" s="69" t="n">
        <x:f>M55</x:f>
        <x:v>0.0000019080361494678073</x:v>
      </x:c>
      <x:c r="K56" s="78" t="n">
        <x:f>(J56+I56)*'Funding inputs'!$B$20</x:f>
        <x:v>9.540180747339037e-8</x:v>
      </x:c>
      <x:c r="L56" s="69" t="n">
        <x:f>C56-K56</x:f>
        <x:v>-9.540180747339037e-8</x:v>
      </x:c>
      <x:c r="M56" s="69" t="n">
        <x:f>MAX(0,J56+I56-L56)</x:f>
        <x:v>0.000002003437956941198</x:v>
      </x:c>
    </x:row>
    <x:row r="59">
      <x:c r="A59" t="str">
        <x:v>Principal reconciliation</x:v>
      </x:c>
      <x:c r="B59" s="96" t="n">
        <x:f>SUM(I17:I56)-SUM(L17:L56)-M56</x:f>
        <x:v>4.999571236252084e-7</x:v>
      </x:c>
    </x:row>
    <x:row r="60">
      <x:c r="A60" t="str">
        <x:v>Project cash reconciliation</x:v>
      </x:c>
      <x:c r="B60" s="96" t="n">
        <x:f>SUM(B17:B56)-SUM(F17:F56)-G56</x:f>
        <x:v>-1.1920928955078125e-7</x:v>
      </x:c>
    </x:row>
    <x:row r="61">
      <x:c r="A61" t="str">
        <x:v>Supported horizon check (zero required)</x:v>
      </x:c>
      <x:c r="B61" s="97" t="n">
        <x:f>MAX(0,'Funding inputs'!$B$18-15)+MAX(0,'Funding inputs'!$B$19-25)</x:f>
        <x:v>0</x:v>
      </x:c>
    </x:row>
    <x:row r="64">
      <x:c r="A64" t="str">
        <x:v>First issue: hypothetical annual tax rate / $1,000</x:v>
      </x:c>
      <x:c r="B64" s="98" t="n">
        <x:f>E5/('Funding inputs'!$B$31*'Funding inputs'!$B$32)*1000</x:f>
        <x:v>0.3509182888561942</x:v>
      </x:c>
      <x:c r="D64" s="100" t="str">
        <x:v>Example only: hypothetical $70b AV / 95% collections, not Portland certified tax capacity. See Funding inputs.</x:v>
      </x:c>
      <x:c r="E64" s="100"/>
      <x:c r="F64" s="100"/>
      <x:c r="G64" s="100"/>
    </x:row>
    <x:row r="65">
      <x:c r="A65" t="str">
        <x:v>First issue: example property annual debt tax</x:v>
      </x:c>
      <x:c r="B65" s="99" t="n">
        <x:f>B64*'Funding inputs'!$B$33/1000</x:f>
        <x:v>105.27548665685825</x:v>
      </x:c>
      <x:c r="D65" s="100"/>
      <x:c r="E65" s="100"/>
      <x:c r="F65" s="100"/>
      <x:c r="G65" s="100"/>
    </x:row>
    <x:row r="66">
      <x:c r="D66" s="100"/>
      <x:c r="E66" s="100"/>
      <x:c r="F66" s="100"/>
      <x:c r="G66" s="100"/>
    </x:row>
    <x:row r="85">
      <x:c r="A85" t="str">
        <x:v>Selected case</x:v>
      </x:c>
      <x:c r="B85" s="95" t="str">
        <x:f>'Funding inputs'!B6</x:f>
        <x:v>Service target proposal</x:v>
      </x:c>
    </x:row>
  </x:sheetData>
  <x:mergeCells>
    <x:mergeCell ref="D9:G13"/>
    <x:mergeCell ref="D64:G66"/>
    <x:mergeCell ref="B85:D85"/>
    <x:mergeCell ref="A2:G2"/>
  </x:mergeCells>
  <x:pageMargins left="0.7" right="0.7" top="0.75" bottom="0.75" header="0.3" footer="0.3"/>
</x:worksheet>
</file>

<file path=xl/worksheets/sheet16.xml><?xml version="1.0" encoding="utf-8"?>
<x:worksheet xmlns:x="http://schemas.openxmlformats.org/spreadsheetml/2006/main">
  <x:sheetPr>
    <x:tabColor rgb="FF173E38"/>
  </x:sheetPr>
  <x:sheetViews>
    <x:sheetView showGridLines="0" workbookViewId="0">
      <x:pane ySplit="4" topLeftCell="A5" activePane="bottomLeft" state="frozen"/>
    </x:sheetView>
  </x:sheetViews>
  <x:sheetFormatPr defaultRowHeight="15"/>
  <x:cols>
    <x:col min="1" max="1" width="35" hidden="0" customWidth="1"/>
    <x:col min="2" max="2" width="22" hidden="0" customWidth="1"/>
    <x:col min="3" max="3" width="22" hidden="0" customWidth="1"/>
    <x:col min="4" max="4" width="22" hidden="0" customWidth="1"/>
    <x:col min="5" max="5" width="22" hidden="0" customWidth="1"/>
    <x:col min="6" max="6" width="20" hidden="0" customWidth="1"/>
    <x:col min="7" max="7" width="22" hidden="0" customWidth="1"/>
    <x:col min="8" max="8" width="22" hidden="0" customWidth="1"/>
    <x:col min="9" max="9" width="22" hidden="0" customWidth="1"/>
    <x:col min="10" max="10" width="90" hidden="0" customWidth="1"/>
  </x:cols>
  <x:sheetData>
    <x:row r="1" ht="34" customHeight="1">
      <x:c r="A1" s="54" t="str">
        <x:v>Fund register</x:v>
      </x:c>
    </x:row>
    <x:row r="2" ht="62" customHeight="1">
      <x:c r="A2" s="3" t="str">
        <x:v>FY2026–27 adopted resources, reconciled to the budget. This is a source ledger, NOT an allocation of recurring operating funding. Existing restrictions and future awards must be matched to uses.</x:v>
      </x:c>
      <x:c r="B2" s="3"/>
      <x:c r="C2" s="3"/>
      <x:c r="D2" s="3"/>
      <x:c r="E2" s="3"/>
      <x:c r="F2" s="3"/>
      <x:c r="G2" s="3"/>
      <x:c r="H2" s="3"/>
      <x:c r="I2" s="3"/>
      <x:c r="J2" s="3"/>
    </x:row>
    <x:row r="4" ht="36" customHeight="1">
      <x:c r="A4" s="6" t="str">
        <x:v>Fund</x:v>
      </x:c>
      <x:c r="B4" s="6" t="str">
        <x:v>Gross resources</x:v>
      </x:c>
      <x:c r="C4" s="6" t="str">
        <x:v>Beginning balance</x:v>
      </x:c>
      <x:c r="D4" s="6" t="str">
        <x:v>Fund transfers in</x:v>
      </x:c>
      <x:c r="E4" s="6" t="str">
        <x:v>GF discretionary</x:v>
      </x:c>
      <x:c r="F4" s="6" t="str">
        <x:v>Interagency</x:v>
      </x:c>
      <x:c r="G4" s="6" t="str">
        <x:v>Other current resources</x:v>
      </x:c>
      <x:c r="H4" s="6" t="str">
        <x:v>Bond / note proceeds</x:v>
      </x:c>
      <x:c r="I4" s="6" t="str">
        <x:v>Check difference</x:v>
      </x:c>
      <x:c r="J4" s="6" t="str">
        <x:v>Availability</x:v>
      </x:c>
    </x:row>
    <x:row r="5" ht="46" customHeight="1">
      <x:c r="A5" s="56" t="str">
        <x:v>Parks levy</x:v>
      </x:c>
      <x:c r="B5" s="70" t="n">
        <x:v>91187951</x:v>
      </x:c>
      <x:c r="C5" s="70" t="n">
        <x:v>9133054</x:v>
      </x:c>
      <x:c r="D5" s="70" t="n">
        <x:v>0</x:v>
      </x:c>
      <x:c r="E5" s="70" t="n">
        <x:v>0</x:v>
      </x:c>
      <x:c r="F5" s="70" t="n">
        <x:v>0</x:v>
      </x:c>
      <x:c r="G5" s="70" t="n">
        <x:v>82054897</x:v>
      </x:c>
      <x:c r="H5" s="70" t="n">
        <x:v>0</x:v>
      </x:c>
      <x:c r="I5" s="79" t="n">
        <x:f>B5-SUM(C5:H5)</x:f>
        <x:v>0</x:v>
      </x:c>
      <x:c r="J5" s="76" t="str">
        <x:v>Includes $81.575m tax + $0.479m miscellaneous. Current levy expires June 2031.</x:v>
      </x:c>
    </x:row>
    <x:row r="6" ht="46" customHeight="1">
      <x:c r="A6" s="55" t="str">
        <x:v>General Fund</x:v>
      </x:c>
      <x:c r="B6" s="69" t="n">
        <x:v>173309210</x:v>
      </x:c>
      <x:c r="C6" s="69" t="n">
        <x:v>0</x:v>
      </x:c>
      <x:c r="D6" s="69" t="n">
        <x:v>86413510</x:v>
      </x:c>
      <x:c r="E6" s="69" t="n">
        <x:v>67381994</x:v>
      </x:c>
      <x:c r="F6" s="69" t="n">
        <x:v>2710220</x:v>
      </x:c>
      <x:c r="G6" s="69" t="n">
        <x:v>16803486</x:v>
      </x:c>
      <x:c r="H6" s="69" t="n">
        <x:v>0</x:v>
      </x:c>
      <x:c r="I6" s="80" t="n">
        <x:f>B6-SUM(C6:H6)</x:f>
        <x:v>0</x:v>
      </x:c>
      <x:c r="J6" s="58" t="str">
        <x:v>$86.414m transfer is not another external revenue source. $13.199m of external receipts are service charges.</x:v>
      </x:c>
    </x:row>
    <x:row r="7" ht="46" customHeight="1">
      <x:c r="A7" s="56" t="str">
        <x:v>Golf</x:v>
      </x:c>
      <x:c r="B7" s="70" t="n">
        <x:v>24420427</x:v>
      </x:c>
      <x:c r="C7" s="70" t="n">
        <x:v>5968414</x:v>
      </x:c>
      <x:c r="D7" s="70" t="n">
        <x:v>0</x:v>
      </x:c>
      <x:c r="E7" s="70" t="n">
        <x:v>0</x:v>
      </x:c>
      <x:c r="F7" s="70" t="n">
        <x:v>0</x:v>
      </x:c>
      <x:c r="G7" s="70" t="n">
        <x:v>18452013</x:v>
      </x:c>
      <x:c r="H7" s="70" t="n">
        <x:v>0</x:v>
      </x:c>
      <x:c r="I7" s="79" t="n">
        <x:f>B7-SUM(C7:H7)</x:f>
        <x:v>0</x:v>
      </x:c>
      <x:c r="J7" s="76" t="str">
        <x:v>$18.252m service charges are gross revenue; enterprise costs and renewal come first.</x:v>
      </x:c>
    </x:row>
    <x:row r="8" ht="46" customHeight="1">
      <x:c r="A8" s="55" t="str">
        <x:v>Grants</x:v>
      </x:c>
      <x:c r="B8" s="69" t="n">
        <x:v>3968839</x:v>
      </x:c>
      <x:c r="C8" s="69" t="n">
        <x:v>0</x:v>
      </x:c>
      <x:c r="D8" s="69" t="n">
        <x:v>0</x:v>
      </x:c>
      <x:c r="E8" s="69" t="n">
        <x:v>0</x:v>
      </x:c>
      <x:c r="F8" s="69" t="n">
        <x:v>0</x:v>
      </x:c>
      <x:c r="G8" s="69" t="n">
        <x:v>3968839</x:v>
      </x:c>
      <x:c r="H8" s="69" t="n">
        <x:v>0</x:v>
      </x:c>
      <x:c r="I8" s="80" t="n">
        <x:f>B8-SUM(C8:H8)</x:f>
        <x:v>0</x:v>
      </x:c>
      <x:c r="J8" s="58" t="str">
        <x:v>Award restrictions and expiry; not assumed recurring.</x:v>
      </x:c>
    </x:row>
    <x:row r="9" ht="46" customHeight="1">
      <x:c r="A9" s="56" t="str">
        <x:v>Capital Improvement Program</x:v>
      </x:c>
      <x:c r="B9" s="70" t="n">
        <x:v>147740882</x:v>
      </x:c>
      <x:c r="C9" s="70" t="n">
        <x:v>124024394</x:v>
      </x:c>
      <x:c r="D9" s="70" t="n">
        <x:v>6975106</x:v>
      </x:c>
      <x:c r="E9" s="70" t="n">
        <x:v>0</x:v>
      </x:c>
      <x:c r="F9" s="70" t="n">
        <x:v>0</x:v>
      </x:c>
      <x:c r="G9" s="70" t="n">
        <x:v>16491382</x:v>
      </x:c>
      <x:c r="H9" s="70" t="n">
        <x:v>250000</x:v>
      </x:c>
      <x:c r="I9" s="79" t="n">
        <x:f>B9-SUM(C9:H9)</x:f>
        <x:v>0</x:v>
      </x:c>
      <x:c r="J9" s="76" t="str">
        <x:v>$124.024m is carryover. Current grants and receipts include capital uses. No recurring renewal allocation inferred.</x:v>
      </x:c>
    </x:row>
    <x:row r="10" ht="46" customHeight="1">
      <x:c r="A10" s="55" t="str">
        <x:v>Endowment</x:v>
      </x:c>
      <x:c r="B10" s="69" t="n">
        <x:v>227604</x:v>
      </x:c>
      <x:c r="C10" s="69" t="n">
        <x:v>219909</x:v>
      </x:c>
      <x:c r="D10" s="69" t="n">
        <x:v>0</x:v>
      </x:c>
      <x:c r="E10" s="69" t="n">
        <x:v>0</x:v>
      </x:c>
      <x:c r="F10" s="69" t="n">
        <x:v>0</x:v>
      </x:c>
      <x:c r="G10" s="69" t="n">
        <x:v>7695</x:v>
      </x:c>
      <x:c r="H10" s="69" t="n">
        <x:v>0</x:v>
      </x:c>
      <x:c r="I10" s="80" t="n">
        <x:f>B10-SUM(C10:H10)</x:f>
        <x:v>0</x:v>
      </x:c>
      <x:c r="J10" s="58" t="str">
        <x:v>Principal restrictions; earnings are not the full fund balance.</x:v>
      </x:c>
    </x:row>
    <x:row r="11" ht="46" customHeight="1">
      <x:c r="A11" s="56" t="str">
        <x:v>PCEF</x:v>
      </x:c>
      <x:c r="B11" s="70" t="n">
        <x:v>26873718</x:v>
      </x:c>
      <x:c r="C11" s="70" t="n">
        <x:v>0</x:v>
      </x:c>
      <x:c r="D11" s="70" t="n">
        <x:v>0</x:v>
      </x:c>
      <x:c r="E11" s="70" t="n">
        <x:v>0</x:v>
      </x:c>
      <x:c r="F11" s="70" t="n">
        <x:v>0</x:v>
      </x:c>
      <x:c r="G11" s="70" t="n">
        <x:v>26873718</x:v>
      </x:c>
      <x:c r="H11" s="70" t="n">
        <x:v>0</x:v>
      </x:c>
      <x:c r="I11" s="79" t="n">
        <x:f>B11-SUM(C11:H11)</x:f>
        <x:v>0</x:v>
      </x:c>
      <x:c r="J11" s="76" t="str">
        <x:v>Already allocated climate resources; cannot also count as new money. Validate eligible services and award years.</x:v>
      </x:c>
    </x:row>
    <x:row r="12" ht="46" customHeight="1">
      <x:c r="A12" s="55" t="str">
        <x:v>International Raceway</x:v>
      </x:c>
      <x:c r="B12" s="69" t="n">
        <x:v>4218255</x:v>
      </x:c>
      <x:c r="C12" s="69" t="n">
        <x:v>1969906</x:v>
      </x:c>
      <x:c r="D12" s="69" t="n">
        <x:v>0</x:v>
      </x:c>
      <x:c r="E12" s="69" t="n">
        <x:v>0</x:v>
      </x:c>
      <x:c r="F12" s="69" t="n">
        <x:v>0</x:v>
      </x:c>
      <x:c r="G12" s="69" t="n">
        <x:v>2248349</x:v>
      </x:c>
      <x:c r="H12" s="69" t="n">
        <x:v>0</x:v>
      </x:c>
      <x:c r="I12" s="80" t="n">
        <x:f>B12-SUM(C12:H12)</x:f>
        <x:v>0</x:v>
      </x:c>
      <x:c r="J12" s="58" t="str">
        <x:v>$2.170m service charges; retained obligations and enterprise costs precede any net transfer.</x:v>
      </x:c>
    </x:row>
    <x:row r="13" ht="46" customHeight="1">
      <x:c r="A13" s="56" t="str">
        <x:v>Parks Memorial</x:v>
      </x:c>
      <x:c r="B13" s="70" t="n">
        <x:v>21777980</x:v>
      </x:c>
      <x:c r="C13" s="70" t="n">
        <x:v>15406427</x:v>
      </x:c>
      <x:c r="D13" s="70" t="n">
        <x:v>126553</x:v>
      </x:c>
      <x:c r="E13" s="70" t="n">
        <x:v>0</x:v>
      </x:c>
      <x:c r="F13" s="70" t="n">
        <x:v>0</x:v>
      </x:c>
      <x:c r="G13" s="70" t="n">
        <x:v>6245000</x:v>
      </x:c>
      <x:c r="H13" s="70" t="n">
        <x:v>0</x:v>
      </x:c>
      <x:c r="I13" s="79" t="n">
        <x:f>B13-SUM(C13:H13)</x:f>
        <x:v>0</x:v>
      </x:c>
      <x:c r="J13" s="76" t="str">
        <x:v>Restricted tree-related and other designated receipts; not a general repair pool.</x:v>
      </x:c>
    </x:row>
    <x:row r="14" ht="46" customHeight="1">
      <x:c r="A14" s="55"/>
      <x:c r="B14" s="69"/>
      <x:c r="C14" s="69"/>
      <x:c r="D14" s="69"/>
      <x:c r="E14" s="69"/>
      <x:c r="F14" s="69"/>
      <x:c r="G14" s="69"/>
      <x:c r="H14" s="69"/>
      <x:c r="I14" s="80"/>
      <x:c r="J14" s="58"/>
    </x:row>
    <x:row r="15" ht="46" customHeight="1">
      <x:c r="A15" s="56" t="str">
        <x:v>Adopted resource total</x:v>
      </x:c>
      <x:c r="B15" s="70" t="n">
        <x:f>SUM(B5:B13)</x:f>
        <x:v>493724866</x:v>
      </x:c>
      <x:c r="C15" s="70" t="n">
        <x:f>SUM(C5:C13)</x:f>
        <x:v>156722104</x:v>
      </x:c>
      <x:c r="D15" s="70" t="n">
        <x:f>SUM(D5:D13)</x:f>
        <x:v>93515169</x:v>
      </x:c>
      <x:c r="E15" s="70" t="n">
        <x:f>SUM(E5:E13)</x:f>
        <x:v>67381994</x:v>
      </x:c>
      <x:c r="F15" s="70" t="n">
        <x:f>SUM(F5:F13)</x:f>
        <x:v>2710220</x:v>
      </x:c>
      <x:c r="G15" s="70" t="n">
        <x:f>SUM(G5:G13)</x:f>
        <x:v>173145379</x:v>
      </x:c>
      <x:c r="H15" s="70" t="n">
        <x:f>SUM(H5:H13)</x:f>
        <x:v>250000</x:v>
      </x:c>
      <x:c r="I15" s="79" t="n">
        <x:f>B15-493724866</x:f>
        <x:v>0</x:v>
      </x:c>
      <x:c r="J15" s="76"/>
    </x:row>
    <x:row r="16" ht="46" customHeight="1">
      <x:c r="A16" s="55"/>
      <x:c r="B16" s="69"/>
      <x:c r="C16" s="69"/>
      <x:c r="D16" s="69"/>
      <x:c r="E16" s="69"/>
      <x:c r="F16" s="69"/>
      <x:c r="G16" s="69"/>
      <x:c r="H16" s="69"/>
      <x:c r="I16" s="55"/>
      <x:c r="J16" s="58"/>
    </x:row>
    <x:row r="17" ht="46" customHeight="1">
      <x:c r="A17" s="56" t="str">
        <x:v>Current inflows before use restrictions</x:v>
      </x:c>
      <x:c r="B17" s="70" t="n">
        <x:f>SUM(E15:G15)</x:f>
        <x:v>243237593</x:v>
      </x:c>
      <x:c r="C17" s="70"/>
      <x:c r="D17" s="70"/>
      <x:c r="E17" s="70"/>
      <x:c r="F17" s="70"/>
      <x:c r="G17" s="70"/>
      <x:c r="H17" s="70"/>
      <x:c r="I17" s="56"/>
      <x:c r="J17" s="76" t="str">
        <x:v>Still includes one-time grants, restricted allocations and capital resources. This is NOT recurring operating revenue.</x:v>
      </x:c>
    </x:row>
    <x:row r="18" ht="46" customHeight="1">
      <x:c r="A18" s="55" t="str">
        <x:v>Internal transfer matching difference</x:v>
      </x:c>
      <x:c r="B18" s="78" t="n">
        <x:f>'Budget baseline'!B28-D15</x:f>
        <x:v>364142</x:v>
      </x:c>
      <x:c r="C18" s="69"/>
      <x:c r="D18" s="69"/>
      <x:c r="E18" s="69"/>
      <x:c r="F18" s="69"/>
      <x:c r="G18" s="69"/>
      <x:c r="H18" s="69"/>
      <x:c r="I18" s="55"/>
      <x:c r="J18" s="58" t="str">
        <x:v>Transfers out exceed transfers in by this amount. Counterparties outside PP&amp;R must be matched; do not force an artificial zero.</x:v>
      </x:c>
    </x:row>
    <x:row r="20">
      <x:c r="A20" t="str">
        <x:v>Source: FY2026–27 adopted budget Volume 2, PDF pages 937–939.</x:v>
      </x:c>
    </x:row>
    <x:row r="21">
      <x:c r="A21" t="str">
        <x:v>https://www.portland.gov/budget/2026-2027-budget/documents/fy-26-27-adopted-budget-book-volume-2/download</x:v>
      </x:c>
    </x:row>
    <x:row r="24" ht="36" customHeight="1">
      <x:c r="A24" s="6" t="str">
        <x:v>Work to fund</x:v>
      </x:c>
      <x:c r="B24" s="6" t="str">
        <x:v>Funding route</x:v>
      </x:c>
      <x:c r="C24" s="6" t="str">
        <x:v>Status / timing</x:v>
      </x:c>
    </x:row>
    <x:row r="25" ht="52" customHeight="1">
      <x:c r="A25" s="83" t="str">
        <x:v>Existing daily operations</x:v>
      </x:c>
      <x:c r="B25" s="83" t="str">
        <x:v>General Fund + existing levy + matched fees / awards</x:v>
      </x:c>
      <x:c r="C25" s="83"/>
      <x:c r="D25" s="83"/>
      <x:c r="E25" s="83" t="str">
        <x:v>Preserve existing support. Levy ends June 2031; other award dates and recurring shares need reconciliation.</x:v>
      </x:c>
      <x:c r="F25" s="83"/>
      <x:c r="G25" s="83"/>
      <x:c r="H25" s="83"/>
      <x:c r="I25" s="83"/>
      <x:c r="J25" s="83"/>
    </x:row>
    <x:row r="26" ht="52" customHeight="1">
      <x:c r="A26" s="86" t="str">
        <x:v>Added operating services</x:v>
      </x:c>
      <x:c r="B26" s="86" t="str">
        <x:v>Additional GF appropriation or voter-authorized operating levy / district receipts</x:v>
      </x:c>
      <x:c r="C26" s="86"/>
      <x:c r="D26" s="86"/>
      <x:c r="E26" s="86" t="str">
        <x:v>Proposal uses $22m in 2026 dollars from FY2028–29. Source is not enacted. If GF-funded, identify the competing City service displaced.</x:v>
      </x:c>
      <x:c r="F26" s="86"/>
      <x:c r="G26" s="86"/>
      <x:c r="H26" s="86"/>
      <x:c r="I26" s="86"/>
      <x:c r="J26" s="86"/>
    </x:row>
    <x:row r="27" ht="52" customHeight="1">
      <x:c r="A27" s="83" t="str">
        <x:v>Levy succession</x:v>
      </x:c>
      <x:c r="B27" s="83" t="str">
        <x:v>Voter-authorized successor levy, or a legally established parks district</x:v>
      </x:c>
      <x:c r="C27" s="83"/>
      <x:c r="D27" s="83"/>
      <x:c r="E27" s="83" t="str">
        <x:v>Proposal replaces the expiring levy-supported block; do not count replacement dollars as a service increase. Repeated City levy renewals or a district must be explicitly authorized.</x:v>
      </x:c>
      <x:c r="F27" s="83"/>
      <x:c r="G27" s="83"/>
      <x:c r="H27" s="83"/>
      <x:c r="I27" s="83"/>
      <x:c r="J27" s="83"/>
    </x:row>
    <x:row r="28" ht="52" customHeight="1">
      <x:c r="A28" s="86" t="str">
        <x:v>Annual component renewal</x:v>
      </x:c>
      <x:c r="B28" s="86" t="str">
        <x:v>Existing GF capital + current levy capital + new dedicated capital appropriation / levy / eligible district receipts</x:v>
      </x:c>
      <x:c r="C28" s="86"/>
      <x:c r="D28" s="86"/>
      <x:c r="E28" s="86" t="str">
        <x:v>Proposal requires $63m additional cash in 2026 dollars, indexed. A new revenue source must explicitly reserve this amount for renewal; cannot spend it again on operations.</x:v>
      </x:c>
      <x:c r="F28" s="86"/>
      <x:c r="G28" s="86"/>
      <x:c r="H28" s="86"/>
      <x:c r="I28" s="86"/>
      <x:c r="J28" s="86"/>
    </x:row>
    <x:row r="29" ht="52" customHeight="1">
      <x:c r="A29" s="83" t="str">
        <x:v>Distinct backlog rehabilitation</x:v>
      </x:c>
      <x:c r="B29" s="83" t="str">
        <x:v>Voter-approved eligible capital bonds with separate debt-tax repayment</x:v>
      </x:c>
      <x:c r="C29" s="83"/>
      <x:c r="D29" s="83"/>
      <x:c r="E29" s="83" t="str">
        <x:v>Three staged issues are a financing illustration. Projects, useful lives, bond eligibility, issuance and repayment capacity must be approved. Not payroll funding.</x:v>
      </x:c>
      <x:c r="F29" s="83"/>
      <x:c r="G29" s="83"/>
      <x:c r="H29" s="83"/>
      <x:c r="I29" s="83"/>
      <x:c r="J29" s="83"/>
    </x:row>
    <x:row r="30" ht="52" customHeight="1">
      <x:c r="A30" s="86" t="str">
        <x:v>Existing-asset ADA barriers</x:v>
      </x:c>
      <x:c r="B30" s="86" t="str">
        <x:v>Eligible capital maintenance / bond scope, or flexible GF cash</x:v>
      </x:c>
      <x:c r="C30" s="86"/>
      <x:c r="D30" s="86"/>
      <x:c r="E30" s="86" t="str">
        <x:v>Separate from growth. Attach barrier IDs, scopes and cost estimates; do not assume every barrier is SDC eligible.</x:v>
      </x:c>
      <x:c r="F30" s="86"/>
      <x:c r="G30" s="86"/>
      <x:c r="H30" s="86"/>
      <x:c r="I30" s="86"/>
      <x:c r="J30" s="86"/>
    </x:row>
    <x:row r="31" ht="52" customHeight="1">
      <x:c r="A31" s="83" t="str">
        <x:v>New capacity / access expansion</x:v>
      </x:c>
      <x:c r="B31" s="83" t="str">
        <x:v>Eligible SDCs, awarded grants, Metro or dedicated capital resources</x:v>
      </x:c>
      <x:c r="C31" s="83"/>
      <x:c r="D31" s="83"/>
      <x:c r="E31" s="83" t="str">
        <x:v>Project-list and capacity nexus required. No unidentified new receipts included. Current residential SDC exemptions constrain receipts through eligible 2028 permits.</x:v>
      </x:c>
      <x:c r="F31" s="83"/>
      <x:c r="G31" s="83"/>
      <x:c r="H31" s="83"/>
      <x:c r="I31" s="83"/>
      <x:c r="J31" s="83"/>
    </x:row>
    <x:row r="32" ht="52" customHeight="1">
      <x:c r="A32" s="86" t="str">
        <x:v>Climate and ecological work</x:v>
      </x:c>
      <x:c r="B32" s="86" t="str">
        <x:v>PCEF or eligible climate / watershed agreement</x:v>
      </x:c>
      <x:c r="C32" s="86"/>
      <x:c r="D32" s="86"/>
      <x:c r="E32" s="86" t="str">
        <x:v>Match outcomes and award terms. The existing $26.9m allocation is already budgeted, not new money for this package.</x:v>
      </x:c>
      <x:c r="F32" s="86"/>
      <x:c r="G32" s="86"/>
      <x:c r="H32" s="86"/>
      <x:c r="I32" s="86"/>
      <x:c r="J32" s="86"/>
    </x:row>
    <x:row r="33" ht="52" customHeight="1">
      <x:c r="A33" s="83" t="str">
        <x:v>Exclusive-use services / concessions</x:v>
      </x:c>
      <x:c r="B33" s="83" t="str">
        <x:v>Net fees, rents and City concession shares</x:v>
      </x:c>
      <x:c r="C33" s="83"/>
      <x:c r="D33" s="83"/>
      <x:c r="E33" s="83" t="str">
        <x:v>Deduct operating, enforcement, security and replacement costs. No unverified net contribution booked.</x:v>
      </x:c>
      <x:c r="F33" s="83"/>
      <x:c r="G33" s="83"/>
      <x:c r="H33" s="83"/>
      <x:c r="I33" s="83"/>
      <x:c r="J33" s="83"/>
    </x:row>
    <x:row r="34" ht="52" customHeight="1">
      <x:c r="A34" s="86" t="str">
        <x:v>Transition and operating reserves</x:v>
      </x:c>
      <x:c r="B34" s="86" t="str">
        <x:v>Explicit one-time GF or legally available unrestricted balance; later operating surpluses</x:v>
      </x:c>
      <x:c r="C34" s="86"/>
      <x:c r="D34" s="86"/>
      <x:c r="E34" s="86" t="str">
        <x:v>$3m transition remains unfinanced by default. Reserve targets are stocks, not recurring revenue. No restricted capital cash used for payroll.</x:v>
      </x:c>
      <x:c r="F34" s="86"/>
      <x:c r="G34" s="86"/>
      <x:c r="H34" s="86"/>
      <x:c r="I34" s="86"/>
      <x:c r="J34" s="86"/>
    </x:row>
    <x:row r="35" ht="52" customHeight="1">
      <x:c r="A35" s="83" t="str">
        <x:v>Volunteer and partner effort</x:v>
      </x:c>
      <x:c r="B35" s="83" t="str">
        <x:v>Documented in-kind work, agreements and separately verified cash support</x:v>
      </x:c>
      <x:c r="C35" s="83"/>
      <x:c r="D35" s="83"/>
      <x:c r="E35" s="83" t="str">
        <x:v>Do not count donated hours as spendable tax receipts or assume they replace employee FTE.</x:v>
      </x:c>
      <x:c r="F35" s="83"/>
      <x:c r="G35" s="83"/>
      <x:c r="H35" s="83"/>
      <x:c r="I35" s="83"/>
      <x:c r="J35" s="83"/>
    </x:row>
    <x:row r="38">
      <x:c r="A38" t="str">
        <x:v>Eligibility sources:</x:v>
      </x:c>
      <x:c r="B38" t="str">
        <x:v>https://www.portland.gov/parks/parks-system-development-charges-sdc</x:v>
      </x:c>
    </x:row>
    <x:row r="39">
      <x:c r="B39" t="str">
        <x:v>https://www.portland.gov/parks/sustainable-future</x:v>
      </x:c>
    </x:row>
    <x:row r="40">
      <x:c r="B40" t="str">
        <x:v>https://parks.portlandciviclab.org/downloads/resources/parks-funding-strategy-2026-09.pdf</x:v>
      </x:c>
    </x:row>
    <x:row r="85">
      <x:c r="A85" t="str">
        <x:v>Selected case</x:v>
      </x:c>
      <x:c r="B85" s="95" t="str">
        <x:f>'Funding inputs'!B6</x:f>
        <x:v>Service target proposal</x:v>
      </x:c>
    </x:row>
  </x:sheetData>
  <x:mergeCells>
    <x:mergeCell ref="B25:D25"/>
    <x:mergeCell ref="E25:J25"/>
    <x:mergeCell ref="B26:D26"/>
    <x:mergeCell ref="E26:J26"/>
    <x:mergeCell ref="B27:D27"/>
    <x:mergeCell ref="E27:J27"/>
    <x:mergeCell ref="B28:D28"/>
    <x:mergeCell ref="E28:J28"/>
    <x:mergeCell ref="B29:D29"/>
    <x:mergeCell ref="E29:J29"/>
    <x:mergeCell ref="B30:D30"/>
    <x:mergeCell ref="E30:J30"/>
    <x:mergeCell ref="B31:D31"/>
    <x:mergeCell ref="E31:J31"/>
    <x:mergeCell ref="B32:D32"/>
    <x:mergeCell ref="E32:J32"/>
    <x:mergeCell ref="B33:D33"/>
    <x:mergeCell ref="E33:J33"/>
    <x:mergeCell ref="B34:D34"/>
    <x:mergeCell ref="E34:J34"/>
    <x:mergeCell ref="B35:D35"/>
    <x:mergeCell ref="E35:J35"/>
    <x:mergeCell ref="B85:D85"/>
    <x:mergeCell ref="A2:F2"/>
  </x:mergeCells>
  <x:pageMargins left="0.7" right="0.7" top="0.75" bottom="0.75" header="0.3" footer="0.3"/>
</x:worksheet>
</file>

<file path=xl/worksheets/sheet17.xml><?xml version="1.0" encoding="utf-8"?>
<x:worksheet xmlns:x="http://schemas.openxmlformats.org/spreadsheetml/2006/main">
  <x:sheetPr>
    <x:tabColor rgb="FF173E38"/>
  </x:sheetPr>
  <x:sheetViews>
    <x:sheetView showGridLines="0" workbookViewId="0">
      <x:pane ySplit="4" topLeftCell="A5" activePane="bottomLeft" state="frozen"/>
    </x:sheetView>
  </x:sheetViews>
  <x:sheetFormatPr defaultRowHeight="15"/>
  <x:cols>
    <x:col min="1" max="1" width="33" hidden="0" customWidth="1"/>
    <x:col min="2" max="2" width="30" hidden="0" customWidth="1"/>
    <x:col min="3" max="3" width="118" hidden="0" customWidth="1"/>
    <x:col min="4" max="4" width="57" hidden="0" customWidth="1"/>
  </x:cols>
  <x:sheetData>
    <x:row r="1" ht="34" customHeight="1">
      <x:c r="A1" s="54" t="str">
        <x:v>Review status</x:v>
      </x:c>
    </x:row>
    <x:row r="2" ht="48" customHeight="1">
      <x:c r="A2" s="3" t="str">
        <x:v>Assessment of the supplied critique. Corrected financing logic is distinguished from operational assumptions that still require staff and asset evidence.</x:v>
      </x:c>
      <x:c r="B2" s="3"/>
      <x:c r="C2" s="3"/>
      <x:c r="D2" s="3"/>
    </x:row>
    <x:row r="4" ht="36" customHeight="1">
      <x:c r="A4" s="6" t="str">
        <x:v>Issue</x:v>
      </x:c>
      <x:c r="B4" s="6" t="str">
        <x:v>Verdict / status</x:v>
      </x:c>
      <x:c r="C4" s="6" t="str">
        <x:v>Required interpretation or next validation</x:v>
      </x:c>
      <x:c r="D4" s="6" t="str">
        <x:v>Evidence / owner</x:v>
      </x:c>
    </x:row>
    <x:row r="5" ht="66" customHeight="1">
      <x:c r="A5" s="76" t="str">
        <x:v>Capital appropriation comparison</x:v>
      </x:c>
      <x:c r="B5" s="76" t="str">
        <x:v>Agree; corrected</x:v>
      </x:c>
      <x:c r="C5" s="76" t="str">
        <x:v>Removed $15.1m and $32m from funding-gap interpretation. $99.6m is a project-year program appropriation.</x:v>
      </x:c>
      <x:c r="D5" s="76" t="str">
        <x:v>Fund register + Funding forecast</x:v>
      </x:c>
    </x:row>
    <x:row r="6" ht="66" customHeight="1">
      <x:c r="A6" s="58" t="str">
        <x:v>Recurring renewal $5m–$27m</x:v>
      </x:c>
      <x:c r="B6" s="58" t="str">
        <x:v>Qualify</x:v>
      </x:c>
      <x:c r="C6" s="58" t="str">
        <x:v>1.1% and 0.35% are historical spending ratios, not identified annual revenue. $4.6m CIP average may overlap the approximate $5m GF benchmark. Do not sum the table.</x:v>
      </x:c>
      <x:c r="D6" s="58" t="str">
        <x:v>Atlas research / Council 37710</x:v>
      </x:c>
    </x:row>
    <x:row r="7" ht="66" customHeight="1">
      <x:c r="A7" s="76" t="str">
        <x:v>$114.7m labeled renewal</x:v>
      </x:c>
      <x:c r="B7" s="76" t="str">
        <x:v>Correct scope</x:v>
      </x:c>
      <x:c r="C7" s="76" t="str">
        <x:v>Original total included $10m growth/access. Original existing-asset provision was $104.7m, including backlog catch-up.</x:v>
      </x:c>
      <x:c r="D7" s="76" t="str">
        <x:v>Capital v1 preserved in forecast bridge</x:v>
      </x:c>
    </x:row>
    <x:row r="8" ht="66" customHeight="1">
      <x:c r="A8" s="58" t="str">
        <x:v>Backlog stock</x:v>
      </x:c>
      <x:c r="B8" s="58" t="str">
        <x:v>Updated</x:v>
      </x:c>
      <x:c r="C8" s="58" t="str">
        <x:v>Use current $759m August 2026 reported stock, not $747m FY25 metric. Changing totals does not prove new deterioration.</x:v>
      </x:c>
      <x:c r="D8" s="58" t="str">
        <x:v>City Sustainable Future</x:v>
      </x:c>
    </x:row>
    <x:row r="9" ht="66" customHeight="1">
      <x:c r="A9" s="76" t="str">
        <x:v>$850m / 952 packages / 2,585 IDs</x:v>
      </x:c>
      <x:c r="B9" s="76" t="str">
        <x:v>Unverified reference</x:v>
      </x:c>
      <x:c r="C9" s="76" t="str">
        <x:v>Could be a better engineering basis, but underlying backlog-action-plan.md was not available in public downloads or resolved files. Verify IDs, statuses, costs and duplication before adopting.</x:v>
      </x:c>
      <x:c r="D9" s="76" t="str">
        <x:v>User-supplied critique</x:v>
      </x:c>
    </x:row>
    <x:row r="10" ht="66" customHeight="1">
      <x:c r="A10" s="58" t="str">
        <x:v>25% overlap vs 25% reserve</x:v>
      </x:c>
      <x:c r="B10" s="58" t="str">
        <x:v>Different concepts</x:v>
      </x:c>
      <x:c r="C10" s="58" t="str">
        <x:v>Removed unverified overlap credit. No new contingency added until embedded allowances are known. Both can coexist when independently supported.</x:v>
      </x:c>
      <x:c r="D10" s="58" t="str">
        <x:v>Model judgment</x:v>
      </x:c>
    </x:row>
    <x:row r="11" ht="66" customHeight="1">
      <x:c r="A11" s="76" t="str">
        <x:v>Routine park rounds</x:v>
      </x:c>
      <x:c r="B11" s="76" t="str">
        <x:v>Agree; unresolved</x:v>
      </x:c>
      <x:c r="C11" s="76" t="str">
        <x:v>Replace flat class hours with fixed opening/safety tasks plus acreage, fixtures, travel and observed use. Do not fit a fabricated acreage coefficient.</x:v>
      </x:c>
      <x:c r="D11" s="76" t="str">
        <x:v>Park model L + work orders required</x:v>
      </x:c>
    </x:row>
    <x:row r="12" ht="66" customHeight="1">
      <x:c r="A12" s="58" t="str">
        <x:v>Specialty horticulture</x:v>
      </x:c>
      <x:c r="B12" s="58" t="str">
        <x:v>Agree; unresolved</x:v>
      </x:c>
      <x:c r="C12" s="58" t="str">
        <x:v>Separate cultivated beds, Rose Garden, Arboretum and other specialty responsibilities. Role counts alone do not establish all horticulture productive hours.</x:v>
      </x:c>
      <x:c r="D12" s="58" t="str">
        <x:v>Budget job classes; crew calendars needed</x:v>
      </x:c>
    </x:row>
    <x:row r="13" ht="66" customHeight="1">
      <x:c r="A13" s="76" t="str">
        <x:v>Partner-operated properties</x:v>
      </x:c>
      <x:c r="B13" s="76" t="str">
        <x:v>Agree; unresolved</x:v>
      </x:c>
      <x:c r="C13" s="76" t="str">
        <x:v>City scope remains a provisional 100% placeholder. Add task-by-task City/partner responsibility and residual costs before deducting labor.</x:v>
      </x:c>
      <x:c r="D13" s="76" t="str">
        <x:v>Atlas partnerships + agreements required</x:v>
      </x:c>
    </x:row>
    <x:row r="14" ht="66" customHeight="1">
      <x:c r="A14" s="58" t="str">
        <x:v>Natural-area allocation</x:v>
      </x:c>
      <x:c r="B14" s="58" t="str">
        <x:v>Agree; unresolved</x:v>
      </x:c>
      <x:c r="C14" s="58" t="str">
        <x:v>Acreage alone misallocates ecology work. Use trail miles, treatment polygons, risk, visits and verified partner activity. Forest Park $6.2m is not a measured City cost.</x:v>
      </x:c>
      <x:c r="D14" s="58" t="str">
        <x:v>Park model allocation</x:v>
      </x:c>
    </x:row>
    <x:row r="15" ht="66" customHeight="1">
      <x:c r="A15" s="76" t="str">
        <x:v>Seasonal career split</x:v>
      </x:c>
      <x:c r="B15" s="76" t="str">
        <x:v>Plausible challenge, not proven</x:v>
      </x:c>
      <x:c r="C15" s="76" t="str">
        <x:v>785/2,147 are people across functions, not annual maintenance FTE. Use maintenance-specific paid hours, task seasonality and agreement limits.</x:v>
      </x:c>
      <x:c r="D15" s="76" t="str">
        <x:v>PP&amp;R System by Numbers</x:v>
      </x:c>
    </x:row>
    <x:row r="16" ht="66" customHeight="1">
      <x:c r="A16" s="58" t="str">
        <x:v>Maintenance-hour calibration</x:v>
      </x:c>
      <x:c r="B16" s="58" t="str">
        <x:v>Agree; scope reconciliation</x:v>
      </x:c>
      <x:c r="C16" s="58" t="str">
        <x:v>446,128 modeled hours vs 409,598 reported FY25 is about 9% higher, but trades/ecology/leave/contractor scope must match first. No service improvement validated.</x:v>
      </x:c>
      <x:c r="D16" s="58" t="str">
        <x:v>FY2024–25 levy annual report</x:v>
      </x:c>
    </x:row>
    <x:row r="17" ht="66" customHeight="1">
      <x:c r="A17" s="76" t="str">
        <x:v>Invasive acres</x:v>
      </x:c>
      <x:c r="B17" s="76" t="str">
        <x:v>Correct data; qualify units</x:v>
      </x:c>
      <x:c r="C17" s="76" t="str">
        <x:v>2,319 FY26 chemical-treatment acres include repeats and a field-log methodology change. 1,500 is not a defensible improvement target; do not blindly multiply 2,319 by 30 hours.</x:v>
      </x:c>
      <x:c r="D17" s="76" t="str">
        <x:v>Atlas progress and City measure</x:v>
      </x:c>
    </x:row>
    <x:row r="18" ht="66" customHeight="1">
      <x:c r="A18" s="58" t="str">
        <x:v>Volunteers</x:v>
      </x:c>
      <x:c r="B18" s="58" t="str">
        <x:v>Agree on explicit planning</x:v>
      </x:c>
      <x:c r="C18" s="58" t="str">
        <x:v>7,500 coordination hours were included, with no volunteer labor deduction. 396,690/2,080 is a headcount-equivalent calculation, not 191 substitutable payroll FTE. Activity, competence, safety and supervision matter.</x:v>
      </x:c>
      <x:c r="D18" s="58" t="str">
        <x:v>PP&amp;R annual reporting</x:v>
      </x:c>
    </x:row>
    <x:row r="19" ht="66" customHeight="1">
      <x:c r="A19" s="76" t="str">
        <x:v>Trades reductions</x:v>
      </x:c>
      <x:c r="B19" s="76" t="str">
        <x:v>Agree; no cut authorized</x:v>
      </x:c>
      <x:c r="C19" s="76" t="str">
        <x:v>69 is an unvalidated workload result. Preserve existing capacity; document vacant positions, contracted work, inspections and reactive tasks before any workforce recommendation.</x:v>
      </x:c>
      <x:c r="D19" s="76" t="str">
        <x:v>Staffing sheet warning</x:v>
      </x:c>
    </x:row>
    <x:row r="20" ht="66" customHeight="1">
      <x:c r="A20" s="58" t="str">
        <x:v>Staff safety</x:v>
      </x:c>
      <x:c r="B20" s="58" t="str">
        <x:v>Agree; unresolved</x:v>
      </x:c>
      <x:c r="C20" s="58" t="str">
        <x:v>Identify protected safety, training, travel, incident response and heat/weather time. Some allowance is already in 1,450 productive hours; avoid double counting.</x:v>
      </x:c>
      <x:c r="D20" s="58" t="str">
        <x:v>OSHA logs, workers compensation and staff calendars</x:v>
      </x:c>
    </x:row>
    <x:row r="21" ht="66" customHeight="1">
      <x:c r="A21" s="76" t="str">
        <x:v>ADA access allowance</x:v>
      </x:c>
      <x:c r="B21" s="76" t="str">
        <x:v>Agree; unresolved</x:v>
      </x:c>
      <x:c r="C21" s="76" t="str">
        <x:v>Link barriers to assets, path-of-travel scopes, delivery cost and repair/growth eligibility. $10m is an allowance, not a costed 17,008-barrier program.</x:v>
      </x:c>
      <x:c r="D21" s="76" t="str">
        <x:v>ADA Transition Plan</x:v>
      </x:c>
    </x:row>
    <x:row r="22" ht="66" customHeight="1">
      <x:c r="A22" s="58" t="str">
        <x:v>Staffing comparison</x:v>
      </x:c>
      <x:c r="B22" s="58" t="str">
        <x:v>Agree on framing</x:v>
      </x:c>
      <x:c r="C22" s="58" t="str">
        <x:v>723.22 is a changed organizational scope and post-cut baseline. Need position-level transfers, eliminations, vacancies and new roles before asserting the exact restore-cuts-plus-40 bridge.</x:v>
      </x:c>
      <x:c r="D22" s="58" t="str">
        <x:v>Adopted budget; HR position bridge needed</x:v>
      </x:c>
    </x:row>
    <x:row r="23" ht="66" customHeight="1">
      <x:c r="A23" s="76" t="str">
        <x:v>Source restrictions</x:v>
      </x:c>
      <x:c r="B23" s="76" t="str">
        <x:v>Added</x:v>
      </x:c>
      <x:c r="C23" s="76" t="str">
        <x:v>Protect existing GF support; levy succession; recurring renewal; separate staged debt; restricted growth funds. New sources default to proposals or zero unless evidenced.</x:v>
      </x:c>
      <x:c r="D23" s="76" t="str">
        <x:v>Funding inputs / source ledger</x:v>
      </x:c>
    </x:row>
    <x:row r="24" ht="66" customHeight="1">
      <x:c r="A24" s="58" t="str">
        <x:v>Reserve and downside</x:v>
      </x:c>
      <x:c r="B24" s="58" t="str">
        <x:v>Added</x:v>
      </x:c>
      <x:c r="C24" s="58" t="str">
        <x:v>Reserve target, cost/revenue mismatch, 3% GF loss, levy replacement delay, construction inflation and unreconciled other funding loss are visible.</x:v>
      </x:c>
      <x:c r="D24" s="58" t="str">
        <x:v>Single active forecast with three cases</x:v>
      </x:c>
    </x:row>
    <x:row r="25" ht="66" customHeight="1">
      <x:c r="A25" s="76" t="str">
        <x:v>Operational optimization claim</x:v>
      </x:c>
      <x:c r="B25" s="76" t="str">
        <x:v>Not established</x:v>
      </x:c>
      <x:c r="C25" s="76" t="str">
        <x:v>Funding revision does not validate 796 career FTE, highest quality, lowest cost or maximum satisfaction. Retain 90-day validation and service-outcome approach.</x:v>
      </x:c>
      <x:c r="D25" s="76" t="str">
        <x:v>Review before Board/PCL adoption</x:v>
      </x:c>
    </x:row>
    <x:row r="85">
      <x:c r="A85" t="str">
        <x:v>Selected case</x:v>
      </x:c>
      <x:c r="B85" s="95" t="str">
        <x:f>'Funding inputs'!B6</x:f>
        <x:v>Service target proposal</x:v>
      </x:c>
    </x:row>
  </x:sheetData>
  <x:mergeCells>
    <x:mergeCell ref="A2:D2"/>
    <x:mergeCell ref="B85:D85"/>
  </x:mergeCells>
  <x:pageMargins left="0.7" right="0.7" top="0.75" bottom="0.75" header="0.3" footer="0.3"/>
</x:worksheet>
</file>