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6b15110034c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9b0863d6e280413e"/>
    <x:sheet xmlns:r="http://schemas.openxmlformats.org/officeDocument/2006/relationships" name="Inputs" sheetId="2" r:id="R10e8075a791f41af"/>
    <x:sheet xmlns:r="http://schemas.openxmlformats.org/officeDocument/2006/relationships" name="Operations" sheetId="3" r:id="R6399e507d918459c"/>
    <x:sheet xmlns:r="http://schemas.openxmlformats.org/officeDocument/2006/relationships" name="Renewal" sheetId="4" r:id="Rf8ca66b9804445af"/>
    <x:sheet xmlns:r="http://schemas.openxmlformats.org/officeDocument/2006/relationships" name="Financing" sheetId="5" r:id="R238ebc08cfb440a4"/>
    <x:sheet xmlns:r="http://schemas.openxmlformats.org/officeDocument/2006/relationships" name="Options" sheetId="6" r:id="Rbacd627265894cbf"/>
    <x:sheet xmlns:r="http://schemas.openxmlformats.org/officeDocument/2006/relationships" name="Sources" sheetId="7" r:id="R3511c899ceb040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0">
    <x:numFmt numFmtId="200" formatCode="#,##0.0;(#,##0.0);&quot;–&quot;"/>
    <x:numFmt numFmtId="201" formatCode="0.0%"/>
    <x:numFmt numFmtId="202" formatCode="0"/>
    <x:numFmt numFmtId="203" formatCode="$#,##0"/>
    <x:numFmt numFmtId="204" formatCode="0.00"/>
    <x:numFmt numFmtId="205" formatCode="0.0"/>
    <x:numFmt numFmtId="206" formatCode="0.000"/>
    <x:numFmt numFmtId="207" formatCode="$0.00"/>
    <x:numFmt numFmtId="208" formatCode="0.00;(0.00);0.00"/>
    <x:numFmt numFmtId="209" formatCode="0&quot; missing&quot;"/>
  </x:numFmts>
  <x:fonts count="11">
    <x:font>
      <x:sz val="11"/>
      <x:name val="Carlito"/>
    </x:font>
    <x:font>
      <x:sz val="10"/>
      <x:color rgb="FF1C2B23"/>
      <x:name val="Arial"/>
    </x:font>
    <x:font>
      <x:b/>
      <x:sz val="16"/>
      <x:color rgb="FF1C2B23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sz val="10"/>
      <x:color rgb="FF2C5A3A"/>
      <x:name val="Arial"/>
    </x:font>
    <x:font>
      <x:sz val="10"/>
      <x:color rgb="FF000000"/>
      <x:name val="Arial"/>
    </x:font>
    <x:font>
      <x:b/>
      <x:sz val="11"/>
      <x:color rgb="FF1C2B23"/>
      <x:name val="Carlito"/>
    </x:font>
    <x:font>
      <x:sz val="10"/>
      <x:color rgb="FF1C2B23"/>
      <x:name val="Carlito"/>
    </x:font>
    <x:font>
      <x:b/>
      <x:sz val="10"/>
      <x:color rgb="FF1C2B23"/>
      <x:name val="Arial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2C5A3A"/>
      </x:patternFill>
    </x:fill>
    <x:fill>
      <x:patternFill patternType="solid">
        <x:fgColor rgb="FFFFF6D8"/>
      </x:patternFill>
    </x:fill>
    <x:fill>
      <x:patternFill patternType="solid">
        <x:fgColor rgb="FFF0F0EC"/>
      </x:patternFill>
    </x:fill>
    <x:fill>
      <x:patternFill patternType="solid">
        <x:fgColor rgb="FFEDF3E7"/>
      </x:patternFill>
    </x:fill>
  </x:fills>
  <x:borders count="2">
    <x:border/>
    <x:border>
      <x:bottom style="thin">
        <x:color rgb="FF2C5A3A"/>
      </x:bottom>
    </x:border>
  </x:borders>
  <x:cellStyleXfs count="1">
    <x:xf numFmtId="0" fontId="0" fillId="0" borderId="0"/>
  </x:cellStyleXfs>
  <x:cellXfs count="5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202" fontId="4" fillId="3" borderId="0" xfId="0" applyNumberFormat="1" applyFont="1" applyFill="1" applyBorder="1" applyAlignment="1">
      <x:alignment vertical="center"/>
    </x:xf>
    <x:xf numFmtId="203" fontId="4" fillId="3" borderId="0" xfId="0" applyNumberFormat="1" applyFont="1" applyFill="1" applyBorder="1" applyAlignment="1">
      <x:alignment vertical="center"/>
    </x:xf>
    <x:xf numFmtId="204" fontId="4" fillId="3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  <x:xf numFmtId="204" fontId="4" fillId="4" borderId="0" xfId="0" applyNumberFormat="1" applyFont="1" applyFill="1" applyBorder="1" applyAlignment="1">
      <x:alignment vertical="center"/>
    </x:xf>
    <x:xf numFmtId="202" fontId="4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5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6" fillId="5" borderId="0" xfId="0" applyNumberFormat="1" applyFont="1" applyFill="1" applyBorder="1" applyAlignment="1">
      <x:alignment vertical="center"/>
    </x:xf>
    <x:xf numFmtId="206" fontId="5" fillId="0" borderId="0" xfId="0" applyNumberFormat="1" applyFont="1" applyFill="1" applyBorder="1" applyAlignment="1">
      <x:alignment vertical="center"/>
    </x:xf>
    <x:xf numFmtId="207" fontId="5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8" fontId="5" fillId="0" borderId="0" xfId="0" applyNumberFormat="1" applyFont="1" applyFill="1" applyBorder="1" applyAlignment="1">
      <x:alignment vertical="center"/>
    </x:xf>
    <x:xf numFmtId="208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9" fillId="5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 applyAlignment="1">
      <x:alignment vertical="center" wrapText="1"/>
    </x:xf>
    <x:xf numFmtId="0" fontId="10" fillId="2" borderId="0" xfId="0" applyNumberFormat="1" applyFont="1" applyFill="1" applyBorder="1" applyAlignment="1">
      <x:alignment vertical="center" wrapText="1"/>
    </x:xf>
    <x:xf numFmtId="208" fontId="1" fillId="0" borderId="0" xfId="0" applyNumberFormat="1" applyFont="1" applyFill="1" applyBorder="1" applyAlignment="1">
      <x:alignment vertical="center" wrapText="1"/>
    </x:xf>
    <x:xf numFmtId="209" fontId="5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6">
    <x:dxf>
      <x:font>
        <x:color rgb="FF963D23"/>
      </x:font>
      <x:fill>
        <x:patternFill patternType="solid">
          <x:bgColor rgb="FFFDE8DD"/>
        </x:patternFill>
      </x:fill>
    </x:dxf>
    <x:dxf>
      <x:font>
        <x:b/>
        <x:color rgb="FF963D23"/>
      </x:font>
      <x:fill>
        <x:patternFill patternType="solid">
          <x:bgColor rgb="FFFDE8DD"/>
        </x:patternFill>
      </x:fill>
    </x:dxf>
    <x:dxf>
      <x:font>
        <x:b/>
        <x:color rgb="FF963D23"/>
      </x:font>
      <x:fill>
        <x:patternFill patternType="solid">
          <x:bgColor rgb="FFFDE8DD"/>
        </x:patternFill>
      </x:fill>
    </x:dxf>
    <x:dxf>
      <x:font>
        <x:b/>
        <x:color rgb="FF963D23"/>
      </x:font>
      <x:fill>
        <x:patternFill patternType="solid">
          <x:bgColor rgb="FFFDE8DD"/>
        </x:patternFill>
      </x:fill>
    </x:dxf>
    <x:dxf>
      <x:font>
        <x:b/>
        <x:color rgb="FF963D23"/>
      </x:font>
      <x:fill>
        <x:patternFill patternType="solid">
          <x:bgColor rgb="FFFDE8DD"/>
        </x:patternFill>
      </x:fill>
    </x:dxf>
    <x:dxf>
      <x:font>
        <x:b/>
        <x:color rgb="FF963D23"/>
      </x:font>
      <x:fill>
        <x:patternFill patternType="solid">
          <x:bgColor rgb="FFFDE8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20a05f64254eac" /><Relationship Type="http://schemas.openxmlformats.org/officeDocument/2006/relationships/theme" Target="/xl/theme/theme1.xml" Id="Re820abb470ea4a96" /><Relationship Type="http://schemas.openxmlformats.org/officeDocument/2006/relationships/sharedStrings" Target="/xl/sharedStrings.xml" Id="Rfe8730966c34425f" /><Relationship Type="http://schemas.openxmlformats.org/officeDocument/2006/relationships/worksheet" Target="/xl/worksheets/sheet1.xml" Id="R9b0863d6e280413e" /><Relationship Type="http://schemas.openxmlformats.org/officeDocument/2006/relationships/worksheet" Target="/xl/worksheets/sheet2.xml" Id="R10e8075a791f41af" /><Relationship Type="http://schemas.openxmlformats.org/officeDocument/2006/relationships/worksheet" Target="/xl/worksheets/sheet3.xml" Id="R6399e507d918459c" /><Relationship Type="http://schemas.openxmlformats.org/officeDocument/2006/relationships/worksheet" Target="/xl/worksheets/sheet4.xml" Id="Rf8ca66b9804445af" /><Relationship Type="http://schemas.openxmlformats.org/officeDocument/2006/relationships/worksheet" Target="/xl/worksheets/sheet5.xml" Id="R238ebc08cfb440a4" /><Relationship Type="http://schemas.openxmlformats.org/officeDocument/2006/relationships/worksheet" Target="/xl/worksheets/sheet6.xml" Id="Rbacd627265894cbf" /><Relationship Type="http://schemas.openxmlformats.org/officeDocument/2006/relationships/worksheet" Target="/xl/worksheets/sheet7.xml" Id="R3511c899ceb040c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1140796d9c44d0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Levy-supported services: cost vs available funds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Service cost</c:v>
          </c:tx>
          <c:spPr>
            <a:solidFill xmlns:a="http://schemas.openxmlformats.org/drawingml/2006/main">
              <a:srgbClr val="8A4F75"/>
            </a:solidFill>
          </c:spPr>
          <c:marker>
            <c:symbol val="none"/>
          </c:marker>
          <c:cat>
            <c:strRef>
              <c:f>'Operations'!$C$6:$C$25</c:f>
              <c:strCache>
                <c:ptCount val="0"/>
              </c:strCache>
            </c:strRef>
          </c:cat>
          <c:val>
            <c:numRef>
              <c:f>'Operations'!$D$6:$D$25</c:f>
              <c:numCache>
                <c:formatCode>0"M"</c:formatCode>
                <c:ptCount val="0"/>
              </c:numCache>
            </c:numRef>
          </c:val>
          <c:smooth val="0"/>
        </c:ser>
        <c:ser>
          <c:idx val="1"/>
          <c:order val="1"/>
          <c:tx>
            <c:v>Available</c:v>
          </c:tx>
          <c:spPr>
            <a:solidFill xmlns:a="http://schemas.openxmlformats.org/drawingml/2006/main">
              <a:srgbClr val="2C5A3A"/>
            </a:solidFill>
          </c:spPr>
          <c:marker>
            <c:symbol val="none"/>
          </c:marker>
          <c:cat>
            <c:strRef>
              <c:f>'Operations'!$C$6:$C$25</c:f>
              <c:strCache>
                <c:ptCount val="0"/>
              </c:strCache>
            </c:strRef>
          </c:cat>
          <c:val>
            <c:numRef>
              <c:f>'Operations'!$H$6:$H$25</c:f>
              <c:numCache>
                <c:formatCode>0"M"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&quot;M&quot;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5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1140796d9c44d0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a852a11a4854da8" /></Relationships>
</file>

<file path=xl/worksheets/sheet1.xml><?xml version="1.0" encoding="utf-8"?>
<x:worksheet xmlns:x="http://schemas.openxmlformats.org/spreadsheetml/2006/main">
  <x:sheetPr>
    <x:tabColor rgb="FF1C2B23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42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3" customHeight="1">
      <x:c r="A2" s="2"/>
      <x:c r="B2" s="2"/>
      <x:c r="C2" s="3" t="str">
        <x:v>Funding Portland Parks | 2026–2046</x:v>
      </x:c>
      <x:c r="D2" s="2"/>
      <x:c r="E2" s="2"/>
      <x:c r="F2" s="2"/>
      <x:c r="G2" s="2"/>
      <x:c r="H2" s="2"/>
      <x:c r="I2" s="2"/>
      <x:c r="J2" s="2"/>
      <x:c r="K2" s="2"/>
      <x:c r="L2" s="2"/>
    </x:row>
    <x:row r="3" ht="23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3" customHeight="1">
      <x:c r="A4" s="2"/>
      <x:c r="B4" s="2"/>
      <x:c r="C4" s="2" t="str">
        <x:v>Start here: save a copy, change a yellow value on Inputs, then return here to read the result.</x:v>
      </x:c>
      <x:c r="D4" s="2"/>
      <x:c r="E4" s="2"/>
      <x:c r="F4" s="2"/>
      <x:c r="G4" s="2"/>
      <x:c r="H4" s="2"/>
      <x:c r="I4" s="2"/>
      <x:c r="J4" s="2"/>
      <x:c r="K4" s="2"/>
      <x:c r="L4" s="2"/>
    </x:row>
    <x:row r="5" ht="23" customHeight="1">
      <x:c r="A5" s="2"/>
      <x:c r="B5" s="2"/>
      <x:c r="C5" s="38" t="str">
        <x:f>IF(COUNTBLANK(Inputs!D6:D34)&gt;0,"Missing input: fill the blank cells on Inputs before interpreting results.","Illustrative model, 16 September 2026. Results are USD millions. This is not a complete PP&amp;R budget forecast.")</x:f>
        <x:v>Illustrative model, 16 September 2026. Results are USD millions. This is not a complete PP&amp;R budget forecast.</x:v>
      </x:c>
      <x:c r="D5" s="32" t="str"/>
      <x:c r="E5" s="32" t="str"/>
      <x:c r="F5" s="32" t="str"/>
      <x:c r="G5" s="32" t="str"/>
      <x:c r="H5" s="32" t="str"/>
      <x:c r="I5" s="32" t="str"/>
      <x:c r="J5" s="32" t="str"/>
      <x:c r="K5" s="32" t="str"/>
      <x:c r="L5" s="32" t="str"/>
      <x:c r="M5" s="37" t="str"/>
      <x:c r="N5" s="37" t="str"/>
    </x:row>
    <x:row r="6" ht="32" customHeight="1">
      <x:c r="A6" s="2"/>
      <x:c r="B6" s="2"/>
      <x:c r="C6" s="9" t="str">
        <x:v>Decision measure</x:v>
      </x:c>
      <x:c r="D6" s="9" t="str">
        <x:v>Result</x:v>
      </x:c>
      <x:c r="E6" s="2"/>
      <x:c r="F6" s="2"/>
      <x:c r="G6" s="2"/>
      <x:c r="H6" s="2"/>
      <x:c r="I6" s="2"/>
      <x:c r="J6" s="2"/>
      <x:c r="K6" s="2"/>
      <x:c r="L6" s="2"/>
    </x:row>
    <x:row r="7" ht="23" customHeight="1">
      <x:c r="A7" s="2"/>
      <x:c r="B7" s="2"/>
      <x:c r="C7" s="2" t="str">
        <x:v>Levy-supported operating block FY2026–27</x:v>
      </x:c>
      <x:c r="D7" s="33" t="n">
        <x:f>Operations!D6</x:f>
        <x:v>79.82737822142859</x:v>
      </x:c>
      <x:c r="E7" s="2"/>
      <x:c r="F7" s="2"/>
      <x:c r="G7" s="2"/>
      <x:c r="H7" s="2"/>
      <x:c r="I7" s="2"/>
      <x:c r="J7" s="2"/>
      <x:c r="K7" s="2"/>
      <x:c r="L7" s="2"/>
    </x:row>
    <x:row r="8" ht="23" customHeight="1">
      <x:c r="A8" s="2"/>
      <x:c r="B8" s="2"/>
      <x:c r="C8" s="2" t="str">
        <x:v>Cost of same service FY2045–46</x:v>
      </x:c>
      <x:c r="D8" s="33" t="n">
        <x:f>Operations!D25</x:f>
        <x:v>184.2304379163822</x:v>
      </x:c>
      <x:c r="E8" s="2"/>
      <x:c r="F8" s="2"/>
      <x:c r="G8" s="2"/>
      <x:c r="H8" s="2"/>
      <x:c r="I8" s="2"/>
      <x:c r="J8" s="2"/>
      <x:c r="K8" s="2"/>
      <x:c r="L8" s="2"/>
    </x:row>
    <x:row r="9" ht="23" customHeight="1">
      <x:c r="A9" s="2"/>
      <x:c r="B9" s="2"/>
      <x:c r="C9" s="2" t="str">
        <x:v>Replacement funds FY2045–46</x:v>
      </x:c>
      <x:c r="D9" s="33" t="n">
        <x:f>Operations!F25</x:f>
        <x:v>165.51873144791017</x:v>
      </x:c>
      <x:c r="E9" s="2"/>
      <x:c r="F9" s="2"/>
      <x:c r="G9" s="2"/>
      <x:c r="H9" s="2"/>
      <x:c r="I9" s="2"/>
      <x:c r="J9" s="2"/>
      <x:c r="K9" s="2"/>
      <x:c r="L9" s="2"/>
    </x:row>
    <x:row r="10" ht="23" customHeight="1">
      <x:c r="A10" s="2"/>
      <x:c r="B10" s="2"/>
      <x:c r="C10" s="2" t="str">
        <x:v>Annual shortfall FY2045–46</x:v>
      </x:c>
      <x:c r="D10" s="33" t="n">
        <x:f>Operations!I25</x:f>
        <x:v>18.711706468472016</x:v>
      </x:c>
      <x:c r="E10" s="2"/>
      <x:c r="F10" s="2"/>
      <x:c r="G10" s="2"/>
      <x:c r="H10" s="2"/>
      <x:c r="I10" s="2"/>
      <x:c r="J10" s="2"/>
      <x:c r="K10" s="2"/>
      <x:c r="L10" s="2"/>
    </x:row>
    <x:row r="11" ht="23" customHeight="1">
      <x:c r="A11" s="2"/>
      <x:c r="B11" s="2"/>
      <x:c r="C11" s="2" t="str">
        <x:v>20-year capital funding, real 2026 dollars</x:v>
      </x:c>
      <x:c r="D11" s="33" t="n">
        <x:f>Renewal!J27</x:f>
        <x:v>1098.740223892857</x:v>
      </x:c>
      <x:c r="E11" s="2"/>
      <x:c r="F11" s="2"/>
      <x:c r="G11" s="2"/>
      <x:c r="H11" s="2"/>
      <x:c r="I11" s="2"/>
      <x:c r="J11" s="2"/>
      <x:c r="K11" s="2"/>
      <x:c r="L11" s="2"/>
    </x:row>
    <x:row r="12" ht="23" customHeight="1">
      <x:c r="A12" s="2"/>
      <x:c r="B12" s="2"/>
      <x:c r="C12" s="2" t="str">
        <x:v>20-year renewal benchmark, real 2026 dollars</x:v>
      </x:c>
      <x:c r="D12" s="33" t="n">
        <x:f>Inputs!D16*20</x:f>
        <x:v>1200</x:v>
      </x:c>
      <x:c r="E12" s="2"/>
      <x:c r="F12" s="2"/>
      <x:c r="G12" s="2"/>
      <x:c r="H12" s="2"/>
      <x:c r="I12" s="2"/>
      <x:c r="J12" s="2"/>
      <x:c r="K12" s="2"/>
      <x:c r="L12" s="2"/>
    </x:row>
    <x:row r="13" ht="23" customHeight="1">
      <x:c r="A13" s="2"/>
      <x:c r="B13" s="2"/>
      <x:c r="C13" s="2" t="str">
        <x:v>Illustrative bond annual debt service</x:v>
      </x:c>
      <x:c r="D13" s="33" t="n">
        <x:f>Financing!D6</x:f>
        <x:v>11.53142164860722</x:v>
      </x:c>
      <x:c r="E13" s="2"/>
      <x:c r="F13" s="2"/>
      <x:c r="G13" s="2"/>
      <x:c r="H13" s="2"/>
      <x:c r="I13" s="2"/>
      <x:c r="J13" s="2"/>
      <x:c r="K13" s="2"/>
      <x:c r="L13" s="2"/>
    </x:row>
    <x:row r="14" ht="23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</x:row>
    <x:row r="15" ht="23" customHeight="1">
      <x:c r="A15" s="2"/>
      <x:c r="B15" s="2"/>
      <x:c r="C15" s="41" t="str">
        <x:v>Try one change</x:v>
      </x:c>
      <x:c r="D15" s="40" t="str">
        <x:v>Try one change</x:v>
      </x:c>
      <x:c r="E15" s="2"/>
      <x:c r="F15" s="2"/>
      <x:c r="G15" s="2"/>
      <x:c r="H15" s="2"/>
      <x:c r="I15" s="2"/>
      <x:c r="J15" s="2"/>
      <x:c r="K15" s="2"/>
      <x:c r="L15" s="2"/>
    </x:row>
    <x:row r="16" ht="23" customHeight="1">
      <x:c r="A16" s="2"/>
      <x:c r="B16" s="2"/>
      <x:c r="C16" s="42" t="str">
        <x:v>On Inputs, change D11 (replacement revenue growth) from 3.0% to 4.5%. Then read the annual shortfall above.</x:v>
      </x:c>
      <x:c r="D16" s="32" t="str">
        <x:v>On Inputs, change D11 (replacement revenue growth) from 3.0% to 4.5%. Then read the annual shortfall above.</x:v>
      </x:c>
      <x:c r="E16" s="2"/>
      <x:c r="F16" s="2"/>
      <x:c r="G16" s="2"/>
      <x:c r="H16" s="2"/>
      <x:c r="I16" s="2"/>
      <x:c r="J16" s="2"/>
      <x:c r="K16" s="2"/>
      <x:c r="L16" s="2"/>
    </x:row>
    <x:row r="17" ht="23" customHeight="1">
      <x:c r="A17" s="2"/>
      <x:c r="B17" s="2"/>
      <x:c r="C17" s="42" t="str">
        <x:v>On Inputs, change D11 (replacement revenue growth) from 3.0% to 4.5%. Then read the annual shortfall above.</x:v>
      </x:c>
      <x:c r="D17" s="32" t="str">
        <x:v>On Inputs, change D11 (replacement revenue growth) from 3.0% to 4.5%. Then read the annual shortfall above.</x:v>
      </x:c>
      <x:c r="E17" s="2"/>
      <x:c r="F17" s="2"/>
      <x:c r="G17" s="2"/>
      <x:c r="H17" s="2"/>
      <x:c r="I17" s="2"/>
      <x:c r="J17" s="2"/>
      <x:c r="K17" s="2"/>
      <x:c r="L17" s="2"/>
    </x:row>
    <x:row r="18" ht="23" customHeight="1">
      <x:c r="A18" s="2"/>
      <x:c r="B18" s="2"/>
      <x:c r="C18" s="42" t="str">
        <x:v>On Inputs, change D11 (replacement revenue growth) from 3.0% to 4.5%. Then read the annual shortfall above.</x:v>
      </x:c>
      <x:c r="D18" s="32" t="str">
        <x:v>On Inputs, change D11 (replacement revenue growth) from 3.0% to 4.5%. Then read the annual shortfall above.</x:v>
      </x:c>
      <x:c r="E18" s="2"/>
      <x:c r="F18" s="2"/>
      <x:c r="G18" s="2"/>
      <x:c r="H18" s="2"/>
      <x:c r="I18" s="2"/>
      <x:c r="J18" s="2"/>
      <x:c r="K18" s="2"/>
      <x:c r="L18" s="2"/>
    </x:row>
    <x:row r="19" ht="23" customHeight="1">
      <x:c r="A19" s="2"/>
      <x:c r="B19" s="2"/>
      <x:c r="C19" s="42" t="str">
        <x:v>With other defaults unchanged, $18.7M shortfall becomes $18.4M headroom. Undo to restore the starting case.</x:v>
      </x:c>
      <x:c r="D19" s="32" t="str">
        <x:v>With other defaults unchanged, $18.7M shortfall becomes $18.4M headroom. Undo to restore the starting case.</x:v>
      </x:c>
      <x:c r="E19" s="2"/>
      <x:c r="F19" s="2"/>
      <x:c r="G19" s="2"/>
      <x:c r="H19" s="2"/>
      <x:c r="I19" s="2"/>
      <x:c r="J19" s="2"/>
      <x:c r="K19" s="2"/>
      <x:c r="L19" s="2"/>
    </x:row>
    <x:row r="20" ht="23" customHeight="1">
      <x:c r="A20" s="2"/>
      <x:c r="B20" s="2"/>
      <x:c r="C20" s="32" t="str">
        <x:v>With other defaults unchanged, $18.7M shortfall becomes $18.4M headroom. Undo to restore the starting case.</x:v>
      </x:c>
      <x:c r="D20" s="32" t="str">
        <x:v>With other defaults unchanged, $18.7M shortfall becomes $18.4M headroom. Undo to restore the starting case.</x:v>
      </x:c>
      <x:c r="E20" s="2"/>
      <x:c r="F20" s="2"/>
      <x:c r="G20" s="2"/>
      <x:c r="H20" s="2"/>
      <x:c r="I20" s="2"/>
      <x:c r="J20" s="2"/>
      <x:c r="K20" s="2"/>
      <x:c r="L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 ht="25" customHeight="1">
      <x:c r="A23" s="2"/>
      <x:c r="B23" s="2"/>
      <x:c r="C23" s="44" t="str">
        <x:v>Choose the question you want to test</x:v>
      </x:c>
      <x:c r="D23" s="40" t="str">
        <x:v>Choose the question you want to test</x:v>
      </x:c>
      <x:c r="E23" s="40" t="str">
        <x:v>Choose the question you want to test</x:v>
      </x:c>
      <x:c r="F23" s="40" t="str">
        <x:v>Choose the question you want to test</x:v>
      </x:c>
      <x:c r="G23" s="40" t="str">
        <x:v>Choose the question you want to test</x:v>
      </x:c>
      <x:c r="H23" s="40" t="str">
        <x:v>Choose the question you want to test</x:v>
      </x:c>
      <x:c r="I23" s="40" t="str">
        <x:v>Choose the question you want to test</x:v>
      </x:c>
      <x:c r="J23" s="40" t="str">
        <x:v>Choose the question you want to test</x:v>
      </x:c>
      <x:c r="K23" s="40" t="str">
        <x:v>Choose the question you want to test</x:v>
      </x:c>
      <x:c r="L23" s="40" t="str">
        <x:v>Choose the question you want to test</x:v>
      </x:c>
      <x:c r="M23" s="40" t="str">
        <x:v>Choose the question you want to test</x:v>
      </x:c>
      <x:c r="N23" s="40" t="str">
        <x:v>Choose the question you want to test</x:v>
      </x:c>
    </x:row>
    <x:row r="24" ht="25" customHeight="1">
      <x:c r="A24" s="2"/>
      <x:c r="B24" s="2"/>
      <x:c r="C24" s="32" t="str">
        <x:v>Operations: edit Inputs D9:D14. Compare Summary’s annual shortfall and the year-by-year results on Operations.</x:v>
      </x:c>
      <x:c r="D24" s="32" t="str">
        <x:v>Operations: edit Inputs D9:D14. Compare Summary’s annual shortfall and the year-by-year results on Operations.</x:v>
      </x:c>
      <x:c r="E24" s="32" t="str">
        <x:v>Operations: edit Inputs D9:D14. Compare Summary’s annual shortfall and the year-by-year results on Operations.</x:v>
      </x:c>
      <x:c r="F24" s="32" t="str">
        <x:v>Operations: edit Inputs D9:D14. Compare Summary’s annual shortfall and the year-by-year results on Operations.</x:v>
      </x:c>
      <x:c r="G24" s="32" t="str">
        <x:v>Operations: edit Inputs D9:D14. Compare Summary’s annual shortfall and the year-by-year results on Operations.</x:v>
      </x:c>
      <x:c r="H24" s="32" t="str">
        <x:v>Operations: edit Inputs D9:D14. Compare Summary’s annual shortfall and the year-by-year results on Operations.</x:v>
      </x:c>
      <x:c r="I24" s="32" t="str">
        <x:v>Operations: edit Inputs D9:D14. Compare Summary’s annual shortfall and the year-by-year results on Operations.</x:v>
      </x:c>
      <x:c r="J24" s="32" t="str">
        <x:v>Operations: edit Inputs D9:D14. Compare Summary’s annual shortfall and the year-by-year results on Operations.</x:v>
      </x:c>
      <x:c r="K24" s="32" t="str">
        <x:v>Operations: edit Inputs D9:D14. Compare Summary’s annual shortfall and the year-by-year results on Operations.</x:v>
      </x:c>
      <x:c r="L24" s="32" t="str">
        <x:v>Operations: edit Inputs D9:D14. Compare Summary’s annual shortfall and the year-by-year results on Operations.</x:v>
      </x:c>
      <x:c r="M24" s="32" t="str">
        <x:v>Operations: edit Inputs D9:D14. Compare Summary’s annual shortfall and the year-by-year results on Operations.</x:v>
      </x:c>
      <x:c r="N24" s="32" t="str">
        <x:v>Operations: edit Inputs D9:D14. Compare Summary’s annual shortfall and the year-by-year results on Operations.</x:v>
      </x:c>
    </x:row>
    <x:row r="25" ht="25" customHeight="1">
      <x:c r="A25" s="2"/>
      <x:c r="B25" s="2"/>
      <x:c r="C25" s="32" t="str">
        <x:v>Repairs: edit Inputs D16:D20. Compare 20-year capital funding with the renewal benchmark, then inspect Renewal.</x:v>
      </x:c>
      <x:c r="D25" s="32" t="str">
        <x:v>Repairs: edit Inputs D16:D20. Compare 20-year capital funding with the renewal benchmark, then inspect Renewal.</x:v>
      </x:c>
      <x:c r="E25" s="32" t="str">
        <x:v>Repairs: edit Inputs D16:D20. Compare 20-year capital funding with the renewal benchmark, then inspect Renewal.</x:v>
      </x:c>
      <x:c r="F25" s="32" t="str">
        <x:v>Repairs: edit Inputs D16:D20. Compare 20-year capital funding with the renewal benchmark, then inspect Renewal.</x:v>
      </x:c>
      <x:c r="G25" s="32" t="str">
        <x:v>Repairs: edit Inputs D16:D20. Compare 20-year capital funding with the renewal benchmark, then inspect Renewal.</x:v>
      </x:c>
      <x:c r="H25" s="32" t="str">
        <x:v>Repairs: edit Inputs D16:D20. Compare 20-year capital funding with the renewal benchmark, then inspect Renewal.</x:v>
      </x:c>
      <x:c r="I25" s="32" t="str">
        <x:v>Repairs: edit Inputs D16:D20. Compare 20-year capital funding with the renewal benchmark, then inspect Renewal.</x:v>
      </x:c>
      <x:c r="J25" s="32" t="str">
        <x:v>Repairs: edit Inputs D16:D20. Compare 20-year capital funding with the renewal benchmark, then inspect Renewal.</x:v>
      </x:c>
      <x:c r="K25" s="32" t="str">
        <x:v>Repairs: edit Inputs D16:D20. Compare 20-year capital funding with the renewal benchmark, then inspect Renewal.</x:v>
      </x:c>
      <x:c r="L25" s="32" t="str">
        <x:v>Repairs: edit Inputs D16:D20. Compare 20-year capital funding with the renewal benchmark, then inspect Renewal.</x:v>
      </x:c>
      <x:c r="M25" s="32" t="str">
        <x:v>Repairs: edit Inputs D16:D20. Compare 20-year capital funding with the renewal benchmark, then inspect Renewal.</x:v>
      </x:c>
      <x:c r="N25" s="32" t="str">
        <x:v>Repairs: edit Inputs D16:D20. Compare 20-year capital funding with the renewal benchmark, then inspect Renewal.</x:v>
      </x:c>
    </x:row>
    <x:row r="26" ht="25" customHeight="1">
      <x:c r="A26" s="2"/>
      <x:c r="B26" s="2"/>
      <x:c r="C26" s="32" t="str">
        <x:v>Borrowing: edit Inputs D21:D27 and D29. District: edit D30:D33. Read Financing; these examples are separate from the other schedules.</x:v>
      </x:c>
      <x:c r="D26" s="32" t="str">
        <x:v>Borrowing: edit Inputs D21:D27 and D29. District: edit D30:D33. Read Financing; these examples are separate from the other schedules.</x:v>
      </x:c>
      <x:c r="E26" s="32" t="str">
        <x:v>Borrowing: edit Inputs D21:D27 and D29. District: edit D30:D33. Read Financing; these examples are separate from the other schedules.</x:v>
      </x:c>
      <x:c r="F26" s="32" t="str">
        <x:v>Borrowing: edit Inputs D21:D27 and D29. District: edit D30:D33. Read Financing; these examples are separate from the other schedules.</x:v>
      </x:c>
      <x:c r="G26" s="32" t="str">
        <x:v>Borrowing: edit Inputs D21:D27 and D29. District: edit D30:D33. Read Financing; these examples are separate from the other schedules.</x:v>
      </x:c>
      <x:c r="H26" s="32" t="str">
        <x:v>Borrowing: edit Inputs D21:D27 and D29. District: edit D30:D33. Read Financing; these examples are separate from the other schedules.</x:v>
      </x:c>
      <x:c r="I26" s="32" t="str">
        <x:v>Borrowing: edit Inputs D21:D27 and D29. District: edit D30:D33. Read Financing; these examples are separate from the other schedules.</x:v>
      </x:c>
      <x:c r="J26" s="32" t="str">
        <x:v>Borrowing: edit Inputs D21:D27 and D29. District: edit D30:D33. Read Financing; these examples are separate from the other schedules.</x:v>
      </x:c>
      <x:c r="K26" s="32" t="str">
        <x:v>Borrowing: edit Inputs D21:D27 and D29. District: edit D30:D33. Read Financing; these examples are separate from the other schedules.</x:v>
      </x:c>
      <x:c r="L26" s="32" t="str">
        <x:v>Borrowing: edit Inputs D21:D27 and D29. District: edit D30:D33. Read Financing; these examples are separate from the other schedules.</x:v>
      </x:c>
      <x:c r="M26" s="32" t="str">
        <x:v>Borrowing: edit Inputs D21:D27 and D29. District: edit D30:D33. Read Financing; these examples are separate from the other schedules.</x:v>
      </x:c>
      <x:c r="N26" s="32" t="str">
        <x:v>Borrowing: edit Inputs D21:D27 and D29. District: edit D30:D33. Read Financing; these examples are separate from the other schedules.</x:v>
      </x:c>
    </x:row>
    <x:row r="27" ht="25" customHeight="1">
      <x:c r="A27" s="2"/>
      <x:c r="B27" s="2"/>
      <x:c r="C27" s="32" t="str">
        <x:v>A positive shortfall means more funding is needed. A negative shortfall (in parentheses) means headroom. A dash means exactly zero.</x:v>
      </x:c>
      <x:c r="D27" s="32" t="str">
        <x:v>A positive shortfall means more funding is needed. A negative shortfall (in parentheses) means headroom. A dash means exactly zero.</x:v>
      </x:c>
      <x:c r="E27" s="32" t="str">
        <x:v>A positive shortfall means more funding is needed. A negative shortfall (in parentheses) means headroom. A dash means exactly zero.</x:v>
      </x:c>
      <x:c r="F27" s="32" t="str">
        <x:v>A positive shortfall means more funding is needed. A negative shortfall (in parentheses) means headroom. A dash means exactly zero.</x:v>
      </x:c>
      <x:c r="G27" s="32" t="str">
        <x:v>A positive shortfall means more funding is needed. A negative shortfall (in parentheses) means headroom. A dash means exactly zero.</x:v>
      </x:c>
      <x:c r="H27" s="32" t="str">
        <x:v>A positive shortfall means more funding is needed. A negative shortfall (in parentheses) means headroom. A dash means exactly zero.</x:v>
      </x:c>
      <x:c r="I27" s="32" t="str">
        <x:v>A positive shortfall means more funding is needed. A negative shortfall (in parentheses) means headroom. A dash means exactly zero.</x:v>
      </x:c>
      <x:c r="J27" s="32" t="str">
        <x:v>A positive shortfall means more funding is needed. A negative shortfall (in parentheses) means headroom. A dash means exactly zero.</x:v>
      </x:c>
      <x:c r="K27" s="32" t="str">
        <x:v>A positive shortfall means more funding is needed. A negative shortfall (in parentheses) means headroom. A dash means exactly zero.</x:v>
      </x:c>
      <x:c r="L27" s="32" t="str">
        <x:v>A positive shortfall means more funding is needed. A negative shortfall (in parentheses) means headroom. A dash means exactly zero.</x:v>
      </x:c>
      <x:c r="M27" s="32" t="str">
        <x:v>A positive shortfall means more funding is needed. A negative shortfall (in parentheses) means headroom. A dash means exactly zero.</x:v>
      </x:c>
      <x:c r="N27" s="32" t="str">
        <x:v>A positive shortfall means more funding is needed. A negative shortfall (in parentheses) means headroom. A dash means exactly zero.</x:v>
      </x:c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3" customHeight="1">
      <x:c r="A29" s="2"/>
      <x:c r="B29" s="2"/>
      <x:c r="C29" s="45" t="str">
        <x:v>Accounting checks: do the calculations tie together? These are not funding results.</x:v>
      </x:c>
      <x:c r="D29" s="32" t="str">
        <x:v>Accounting checks: do the calculations tie together? These are not funding results.</x:v>
      </x:c>
      <x:c r="E29" s="32" t="str">
        <x:v>Accounting checks: do the calculations tie together? These are not funding results.</x:v>
      </x:c>
      <x:c r="F29" s="32" t="str">
        <x:v>Accounting checks: do the calculations tie together? These are not funding results.</x:v>
      </x:c>
      <x:c r="G29" s="32" t="str">
        <x:v>Accounting checks: do the calculations tie together? These are not funding results.</x:v>
      </x:c>
      <x:c r="H29" s="32" t="str">
        <x:v>Accounting checks: do the calculations tie together? These are not funding results.</x:v>
      </x:c>
      <x:c r="I29" s="32" t="str">
        <x:v>Accounting checks: do the calculations tie together? These are not funding results.</x:v>
      </x:c>
      <x:c r="J29" s="32" t="str">
        <x:v>Accounting checks: do the calculations tie together? These are not funding results.</x:v>
      </x:c>
      <x:c r="K29" s="32" t="str">
        <x:v>Accounting checks: do the calculations tie together? These are not funding results.</x:v>
      </x:c>
      <x:c r="L29" s="32" t="str">
        <x:v>Accounting checks: do the calculations tie together? These are not funding results.</x:v>
      </x:c>
      <x:c r="M29" s="37" t="str">
        <x:v>Accounting checks: do the calculations tie together? These are not funding results.</x:v>
      </x:c>
      <x:c r="N29" s="37" t="str">
        <x:v>Accounting checks: do the calculations tie together? These are not funding results.</x:v>
      </x:c>
    </x:row>
    <x:row r="30" ht="32" customHeight="1">
      <x:c r="A30" s="2"/>
      <x:c r="B30" s="2"/>
      <x:c r="C30" s="8" t="str">
        <x:v>Accounting check</x:v>
      </x:c>
      <x:c r="D30" s="8" t="str">
        <x:v>Difference ($M)</x:v>
      </x:c>
      <x:c r="E30" s="8" t="str">
        <x:v>Status</x:v>
      </x:c>
      <x:c r="F30" s="8" t="str">
        <x:v>What a balanced result means</x:v>
      </x:c>
      <x:c r="G30" s="8" t="str">
        <x:v>What a balanced result means</x:v>
      </x:c>
      <x:c r="H30" s="8" t="str">
        <x:v>What a balanced result means</x:v>
      </x:c>
      <x:c r="I30" s="8" t="str">
        <x:v>What a balanced result means</x:v>
      </x:c>
      <x:c r="J30" s="8" t="str">
        <x:v>What a balanced result means</x:v>
      </x:c>
      <x:c r="K30" s="8" t="str">
        <x:v>What a balanced result means</x:v>
      </x:c>
      <x:c r="L30" s="8" t="str">
        <x:v>What a balanced result means</x:v>
      </x:c>
      <x:c r="M30" s="48" t="str">
        <x:v>What a balanced result means</x:v>
      </x:c>
      <x:c r="N30" s="48" t="str">
        <x:v>What a balanced result means</x:v>
      </x:c>
    </x:row>
    <x:row r="31" ht="34" customHeight="1">
      <x:c r="A31" s="2"/>
      <x:c r="B31" s="2"/>
      <x:c r="C31" s="32" t="str">
        <x:v>Levy operating + capital allocation</x:v>
      </x:c>
      <x:c r="D31" s="49" t="n">
        <x:f>Operations!D6+Renewal!F6-Inputs!D6</x:f>
        <x:v>0</x:v>
      </x:c>
      <x:c r="E31" s="51" t="str">
        <x:f>IF(COUNTBLANK(Inputs!D6:D34)&gt;0,"Inputs missing",IF(ABS(D31)&lt;0.000001,"Balanced","Review formula"))</x:f>
        <x:v>Balanced</x:v>
      </x:c>
      <x:c r="F31" s="32" t="str">
        <x:v>The operating and capital portions add back to the original levy tax budget.</x:v>
      </x:c>
      <x:c r="G31" s="32" t="str">
        <x:v>The operating and capital portions add back to the original levy tax budget.</x:v>
      </x:c>
      <x:c r="H31" s="32" t="str">
        <x:v>The operating and capital portions add back to the original levy tax budget.</x:v>
      </x:c>
      <x:c r="I31" s="32" t="str">
        <x:v>The operating and capital portions add back to the original levy tax budget.</x:v>
      </x:c>
      <x:c r="J31" s="32" t="str">
        <x:v>The operating and capital portions add back to the original levy tax budget.</x:v>
      </x:c>
      <x:c r="K31" s="32" t="str">
        <x:v>The operating and capital portions add back to the original levy tax budget.</x:v>
      </x:c>
      <x:c r="L31" s="32" t="str">
        <x:v>The operating and capital portions add back to the original levy tax budget.</x:v>
      </x:c>
      <x:c r="M31" s="37" t="str">
        <x:v>The operating and capital portions add back to the original levy tax budget.</x:v>
      </x:c>
      <x:c r="N31" s="37" t="str">
        <x:v>The operating and capital portions add back to the original levy tax budget.</x:v>
      </x:c>
    </x:row>
    <x:row r="32" ht="34" customHeight="1">
      <x:c r="A32" s="2"/>
      <x:c r="B32" s="2"/>
      <x:c r="C32" s="32" t="str">
        <x:v>Operating funds reconcile, year 20</x:v>
      </x:c>
      <x:c r="D32" s="49" t="n">
        <x:f>Operations!H25-Operations!E25-Operations!F25+Operations!G25</x:f>
        <x:v>0</x:v>
      </x:c>
      <x:c r="E32" s="51" t="str">
        <x:f>IF(COUNTBLANK(Inputs!D6:D34)&gt;0,"Inputs missing",IF(ABS(D32)&lt;0.000001,"Balanced","Review formula"))</x:f>
        <x:v>Balanced</x:v>
      </x:c>
      <x:c r="F32" s="32" t="str">
        <x:v>Available operating funds equal levy + replacement funds minus withdrawn City support.</x:v>
      </x:c>
      <x:c r="G32" s="32" t="str">
        <x:v>Available operating funds equal levy + replacement funds minus withdrawn City support.</x:v>
      </x:c>
      <x:c r="H32" s="32" t="str">
        <x:v>Available operating funds equal levy + replacement funds minus withdrawn City support.</x:v>
      </x:c>
      <x:c r="I32" s="32" t="str">
        <x:v>Available operating funds equal levy + replacement funds minus withdrawn City support.</x:v>
      </x:c>
      <x:c r="J32" s="32" t="str">
        <x:v>Available operating funds equal levy + replacement funds minus withdrawn City support.</x:v>
      </x:c>
      <x:c r="K32" s="32" t="str">
        <x:v>Available operating funds equal levy + replacement funds minus withdrawn City support.</x:v>
      </x:c>
      <x:c r="L32" s="32" t="str">
        <x:v>Available operating funds equal levy + replacement funds minus withdrawn City support.</x:v>
      </x:c>
      <x:c r="M32" s="37" t="str">
        <x:v>Available operating funds equal levy + replacement funds minus withdrawn City support.</x:v>
      </x:c>
      <x:c r="N32" s="37" t="str">
        <x:v>Available operating funds equal levy + replacement funds minus withdrawn City support.</x:v>
      </x:c>
    </x:row>
    <x:row r="33" ht="34" customHeight="1">
      <x:c r="A33" s="2"/>
      <x:c r="B33" s="2"/>
      <x:c r="C33" s="32" t="str">
        <x:v>Renewal funding reconciles, year 20</x:v>
      </x:c>
      <x:c r="D33" s="49" t="n">
        <x:f>Renewal!H25-SUM(Renewal!E25:G25)</x:f>
        <x:v>0</x:v>
      </x:c>
      <x:c r="E33" s="51" t="str">
        <x:f>IF(COUNTBLANK(Inputs!D6:D34)&gt;0,"Inputs missing",IF(ABS(D33)&lt;0.000001,"Balanced","Review formula"))</x:f>
        <x:v>Balanced</x:v>
      </x:c>
      <x:c r="F33" s="32" t="str">
        <x:v>Total renewal funding equals City support + levy capital + new pay-as-you-go funding.</x:v>
      </x:c>
      <x:c r="G33" s="32" t="str">
        <x:v>Total renewal funding equals City support + levy capital + new pay-as-you-go funding.</x:v>
      </x:c>
      <x:c r="H33" s="32" t="str">
        <x:v>Total renewal funding equals City support + levy capital + new pay-as-you-go funding.</x:v>
      </x:c>
      <x:c r="I33" s="32" t="str">
        <x:v>Total renewal funding equals City support + levy capital + new pay-as-you-go funding.</x:v>
      </x:c>
      <x:c r="J33" s="32" t="str">
        <x:v>Total renewal funding equals City support + levy capital + new pay-as-you-go funding.</x:v>
      </x:c>
      <x:c r="K33" s="32" t="str">
        <x:v>Total renewal funding equals City support + levy capital + new pay-as-you-go funding.</x:v>
      </x:c>
      <x:c r="L33" s="32" t="str">
        <x:v>Total renewal funding equals City support + levy capital + new pay-as-you-go funding.</x:v>
      </x:c>
      <x:c r="M33" s="37" t="str">
        <x:v>Total renewal funding equals City support + levy capital + new pay-as-you-go funding.</x:v>
      </x:c>
      <x:c r="N33" s="37" t="str">
        <x:v>Total renewal funding equals City support + levy capital + new pay-as-you-go funding.</x:v>
      </x:c>
    </x:row>
    <x:row r="34" ht="34" customHeight="1">
      <x:c r="A34" s="2"/>
      <x:c r="B34" s="2"/>
      <x:c r="C34" s="32" t="str">
        <x:v>Bond principal repayment / balance</x:v>
      </x:c>
      <x:c r="D34" s="49" t="n">
        <x:f>SUM(Financing!F21:F40)+Financing!H40-Inputs!D21</x:f>
        <x:v>2.842170943040401e-14</x:v>
      </x:c>
      <x:c r="E34" s="51" t="str">
        <x:f>IF(COUNTBLANK(Inputs!D6:D34)&gt;0,"Inputs missing",IF(ABS(D34)&lt;0.000001,"Balanced","Review formula"))</x:f>
        <x:v>Balanced</x:v>
      </x:c>
      <x:c r="F34" s="32" t="str">
        <x:v>Principal repaid plus the remaining debt balance equals the original amount borrowed.</x:v>
      </x:c>
      <x:c r="G34" s="32" t="str">
        <x:v>Principal repaid plus the remaining debt balance equals the original amount borrowed.</x:v>
      </x:c>
      <x:c r="H34" s="32" t="str">
        <x:v>Principal repaid plus the remaining debt balance equals the original amount borrowed.</x:v>
      </x:c>
      <x:c r="I34" s="32" t="str">
        <x:v>Principal repaid plus the remaining debt balance equals the original amount borrowed.</x:v>
      </x:c>
      <x:c r="J34" s="32" t="str">
        <x:v>Principal repaid plus the remaining debt balance equals the original amount borrowed.</x:v>
      </x:c>
      <x:c r="K34" s="32" t="str">
        <x:v>Principal repaid plus the remaining debt balance equals the original amount borrowed.</x:v>
      </x:c>
      <x:c r="L34" s="32" t="str">
        <x:v>Principal repaid plus the remaining debt balance equals the original amount borrowed.</x:v>
      </x:c>
      <x:c r="M34" s="37" t="str">
        <x:v>Principal repaid plus the remaining debt balance equals the original amount borrowed.</x:v>
      </x:c>
      <x:c r="N34" s="37" t="str">
        <x:v>Principal repaid plus the remaining debt balance equals the original amount borrowed.</x:v>
      </x:c>
    </x:row>
    <x:row r="35" ht="23" customHeight="1">
      <x:c r="A35" s="2"/>
      <x:c r="B35" s="2"/>
      <x:c r="C35" s="2"/>
      <x:c r="D35" s="2"/>
      <x:c r="E35" s="52"/>
      <x:c r="F35" s="2"/>
      <x:c r="G35" s="2"/>
      <x:c r="H35" s="2"/>
      <x:c r="I35" s="2"/>
      <x:c r="J35" s="2"/>
      <x:c r="K35" s="2"/>
      <x:c r="L35" s="2"/>
    </x:row>
    <x:row r="36" ht="23" customHeight="1">
      <x:c r="A36" s="2"/>
      <x:c r="B36" s="2"/>
      <x:c r="C36" s="2" t="str">
        <x:v>Required input cells</x:v>
      </x:c>
      <x:c r="D36" s="50" t="n">
        <x:f>COUNTBLANK(Inputs!D6:D34)</x:f>
        <x:v>0</x:v>
      </x:c>
      <x:c r="E36" s="53" t="str">
        <x:f>IF(D36=0,"Complete","Fill inputs")</x:f>
        <x:v>Complete</x:v>
      </x:c>
      <x:c r="F36" s="32" t="str">
        <x:v>0 missing means every required input has a value. It does not validate the assumptions.</x:v>
      </x:c>
      <x:c r="G36" s="32" t="str">
        <x:v>0 missing means every required input has a value. It does not validate the assumptions.</x:v>
      </x:c>
      <x:c r="H36" s="32" t="str">
        <x:v>0 missing means every required input has a value. It does not validate the assumptions.</x:v>
      </x:c>
      <x:c r="I36" s="32" t="str">
        <x:v>0 missing means every required input has a value. It does not validate the assumptions.</x:v>
      </x:c>
      <x:c r="J36" s="32" t="str">
        <x:v>0 missing means every required input has a value. It does not validate the assumptions.</x:v>
      </x:c>
      <x:c r="K36" s="32" t="str">
        <x:v>0 missing means every required input has a value. It does not validate the assumptions.</x:v>
      </x:c>
      <x:c r="L36" s="32" t="str">
        <x:v>0 missing means every required input has a value. It does not validate the assumptions.</x:v>
      </x:c>
      <x:c r="M36" s="37" t="str">
        <x:v>0 missing means every required input has a value. It does not validate the assumptions.</x:v>
      </x:c>
      <x:c r="N36" s="37" t="str">
        <x:v>0 missing means every required input has a value. It does not validate the assumptions.</x:v>
      </x:c>
    </x:row>
    <x:row r="37" ht="23" customHeight="1">
      <x:c r="A37" s="2"/>
      <x:c r="B37" s="2"/>
      <x:c r="C37" s="32" t="str">
        <x:v>Balanced means the difference is less than $1. It does not mean Parks has enough funding: a model can balance mathematically and still show a service shortfall.</x:v>
      </x:c>
      <x:c r="D37" s="32" t="str">
        <x:v>Balanced means the difference is less than $1. It does not mean Parks has enough funding: a model can balance mathematically and still show a service shortfall.</x:v>
      </x:c>
      <x:c r="E37" s="32" t="str">
        <x:v>Balanced means the difference is less than $1. It does not mean Parks has enough funding: a model can balance mathematically and still show a service shortfall.</x:v>
      </x:c>
      <x:c r="F37" s="32" t="str">
        <x:v>Balanced means the difference is less than $1. It does not mean Parks has enough funding: a model can balance mathematically and still show a service shortfall.</x:v>
      </x:c>
      <x:c r="G37" s="32" t="str">
        <x:v>Balanced means the difference is less than $1. It does not mean Parks has enough funding: a model can balance mathematically and still show a service shortfall.</x:v>
      </x:c>
      <x:c r="H37" s="32" t="str">
        <x:v>Balanced means the difference is less than $1. It does not mean Parks has enough funding: a model can balance mathematically and still show a service shortfall.</x:v>
      </x:c>
      <x:c r="I37" s="32" t="str">
        <x:v>Balanced means the difference is less than $1. It does not mean Parks has enough funding: a model can balance mathematically and still show a service shortfall.</x:v>
      </x:c>
      <x:c r="J37" s="32" t="str">
        <x:v>Balanced means the difference is less than $1. It does not mean Parks has enough funding: a model can balance mathematically and still show a service shortfall.</x:v>
      </x:c>
      <x:c r="K37" s="32" t="str">
        <x:v>Balanced means the difference is less than $1. It does not mean Parks has enough funding: a model can balance mathematically and still show a service shortfall.</x:v>
      </x:c>
      <x:c r="L37" s="32" t="str">
        <x:v>Balanced means the difference is less than $1. It does not mean Parks has enough funding: a model can balance mathematically and still show a service shortfall.</x:v>
      </x:c>
      <x:c r="M37" s="42" t="str">
        <x:v>Balanced means the difference is less than $1. It does not mean Parks has enough funding: a model can balance mathematically and still show a service shortfall.</x:v>
      </x:c>
      <x:c r="N37" s="42" t="str">
        <x:v>Balanced means the difference is less than $1. It does not mean Parks has enough funding: a model can balance mathematically and still show a service shortfall.</x:v>
      </x:c>
    </x:row>
    <x:row r="38" ht="23" customHeight="1">
      <x:c r="A38" s="2"/>
      <x:c r="B38" s="2"/>
      <x:c r="C38" s="32" t="str">
        <x:v>Balanced means the difference is less than $1. It does not mean Parks has enough funding: a model can balance mathematically and still show a service shortfall.</x:v>
      </x:c>
      <x:c r="D38" s="32" t="str">
        <x:v>Balanced means the difference is less than $1. It does not mean Parks has enough funding: a model can balance mathematically and still show a service shortfall.</x:v>
      </x:c>
      <x:c r="E38" s="32" t="str">
        <x:v>Balanced means the difference is less than $1. It does not mean Parks has enough funding: a model can balance mathematically and still show a service shortfall.</x:v>
      </x:c>
      <x:c r="F38" s="32" t="str">
        <x:v>Balanced means the difference is less than $1. It does not mean Parks has enough funding: a model can balance mathematically and still show a service shortfall.</x:v>
      </x:c>
      <x:c r="G38" s="32" t="str">
        <x:v>Balanced means the difference is less than $1. It does not mean Parks has enough funding: a model can balance mathematically and still show a service shortfall.</x:v>
      </x:c>
      <x:c r="H38" s="32" t="str">
        <x:v>Balanced means the difference is less than $1. It does not mean Parks has enough funding: a model can balance mathematically and still show a service shortfall.</x:v>
      </x:c>
      <x:c r="I38" s="32" t="str">
        <x:v>Balanced means the difference is less than $1. It does not mean Parks has enough funding: a model can balance mathematically and still show a service shortfall.</x:v>
      </x:c>
      <x:c r="J38" s="32" t="str">
        <x:v>Balanced means the difference is less than $1. It does not mean Parks has enough funding: a model can balance mathematically and still show a service shortfall.</x:v>
      </x:c>
      <x:c r="K38" s="32" t="str">
        <x:v>Balanced means the difference is less than $1. It does not mean Parks has enough funding: a model can balance mathematically and still show a service shortfall.</x:v>
      </x:c>
      <x:c r="L38" s="32" t="str">
        <x:v>Balanced means the difference is less than $1. It does not mean Parks has enough funding: a model can balance mathematically and still show a service shortfall.</x:v>
      </x:c>
      <x:c r="M38" s="42" t="str">
        <x:v>Balanced means the difference is less than $1. It does not mean Parks has enough funding: a model can balance mathematically and still show a service shortfall.</x:v>
      </x:c>
      <x:c r="N38" s="42" t="str">
        <x:v>Balanced means the difference is less than $1. It does not mean Parks has enough funding: a model can balance mathematically and still show a service shortfall.</x:v>
      </x:c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</x:sheetData>
  <x:mergeCells>
    <x:mergeCell ref="C5:N5"/>
    <x:mergeCell ref="C15:D15"/>
    <x:mergeCell ref="C16:D18"/>
    <x:mergeCell ref="C19:D20"/>
    <x:mergeCell ref="C23:N23"/>
    <x:mergeCell ref="C24:N24"/>
    <x:mergeCell ref="C25:N25"/>
    <x:mergeCell ref="C26:N26"/>
    <x:mergeCell ref="C27:N27"/>
    <x:mergeCell ref="C29:N29"/>
    <x:mergeCell ref="F30:N30"/>
    <x:mergeCell ref="F31:N31"/>
    <x:mergeCell ref="F32:N32"/>
    <x:mergeCell ref="F33:N33"/>
    <x:mergeCell ref="F34:N34"/>
    <x:mergeCell ref="F36:N36"/>
    <x:mergeCell ref="C37:N38"/>
  </x:mergeCells>
  <x:conditionalFormatting sqref="D24:D27">
    <x:cfRule type="cellIs" dxfId="1" priority="1" operator="notBetween">
      <x:formula>-0.000001</x:formula>
      <x:formula>0.000001</x:formula>
    </x:cfRule>
  </x:conditionalFormatting>
  <x:conditionalFormatting sqref="D36:D36">
    <x:cfRule type="cellIs" dxfId="2" priority="2" operator="greaterThan">
      <x:formula>0</x:formula>
    </x:cfRule>
  </x:conditionalFormatting>
  <x:conditionalFormatting sqref="D31:D34">
    <x:cfRule type="cellIs" dxfId="3" priority="3" operator="notBetween">
      <x:formula>-0.000001</x:formula>
      <x:formula>0.000001</x:formula>
    </x:cfRule>
  </x:conditionalFormatting>
  <x:conditionalFormatting sqref="C5:N5">
    <x:cfRule type="expression" dxfId="4" priority="4">
      <x:formula>COUNTBLANK(Inputs!D6:D34)&gt;0</x:formula>
    </x:cfRule>
  </x:conditionalFormatting>
  <x:conditionalFormatting sqref="E31:E34">
    <x:cfRule type="cellIs" dxfId="5" priority="5" operator="notEqual">
      <x:formula>"Balanced"</x:formula>
    </x:cfRule>
  </x:conditionalFormatting>
  <x:pageMargins left="0.7" right="0.7" top="0.75" bottom="0.75" header="0.3" footer="0.3"/>
  <x:drawing xmlns:r="http://schemas.openxmlformats.org/officeDocument/2006/relationships" r:id="R6a852a11a4854da8"/>
</x:worksheet>
</file>

<file path=xl/worksheets/sheet2.xml><?xml version="1.0" encoding="utf-8"?>
<x:worksheet xmlns:x="http://schemas.openxmlformats.org/spreadsheetml/2006/main">
  <x:sheetPr>
    <x:tabColor rgb="FF2C5A3A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2" hidden="0" customWidth="1"/>
    <x:col min="4" max="4" width="15" hidden="0" customWidth="1"/>
    <x:col min="5" max="5" width="69" hidden="0" customWidth="1"/>
    <x:col min="6" max="6" width="52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3" customHeight="1">
      <x:c r="A2" s="2"/>
      <x:c r="B2" s="2"/>
      <x:c r="C2" s="3" t="str">
        <x:v>Inputs</x:v>
      </x:c>
      <x:c r="D2" s="2"/>
      <x:c r="E2" s="2"/>
      <x:c r="F2" s="2"/>
      <x:c r="G2" s="2"/>
      <x:c r="H2" s="2"/>
      <x:c r="I2" s="2"/>
      <x:c r="J2" s="2"/>
      <x:c r="K2" s="2"/>
      <x:c r="L2" s="2"/>
    </x:row>
    <x:row r="3" ht="23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3" customHeight="1">
      <x:c r="A4" s="2"/>
      <x:c r="B4" s="2"/>
      <x:c r="C4" s="2" t="str">
        <x:v>Change yellow cells in column D. Gray cells hold the source baseline and calendar. Save a copy before experimenting.</x:v>
      </x:c>
      <x:c r="D4" s="2"/>
      <x:c r="E4" s="2"/>
      <x:c r="F4" s="2"/>
      <x:c r="G4" s="2"/>
      <x:c r="H4" s="2"/>
      <x:c r="I4" s="2"/>
      <x:c r="J4" s="2"/>
      <x:c r="K4" s="2"/>
      <x:c r="L4" s="2"/>
    </x:row>
    <x:row r="5" ht="32" customHeight="1">
      <x:c r="A5" s="2"/>
      <x:c r="B5" s="2"/>
      <x:c r="C5" s="9" t="str">
        <x:v>Driver</x:v>
      </x:c>
      <x:c r="D5" s="9" t="str">
        <x:v>Value</x:v>
      </x:c>
      <x:c r="E5" s="9" t="str">
        <x:v>Basis</x:v>
      </x:c>
      <x:c r="F5" s="9" t="str">
        <x:v>Source / locator</x:v>
      </x:c>
      <x:c r="G5" s="2"/>
      <x:c r="H5" s="2"/>
      <x:c r="I5" s="2"/>
      <x:c r="J5" s="2"/>
      <x:c r="K5" s="2"/>
      <x:c r="L5" s="2"/>
    </x:row>
    <x:row r="6" ht="23" customHeight="1">
      <x:c r="A6" s="2"/>
      <x:c r="B6" s="2"/>
      <x:c r="C6" s="2" t="str">
        <x:v>Levy tax budget FY26–27 ($M)</x:v>
      </x:c>
      <x:c r="D6" s="20" t="n">
        <x:v>81.575423</x:v>
      </x:c>
      <x:c r="E6" s="2" t="str">
        <x:v>Source budget; not collections</x:v>
      </x:c>
      <x:c r="F6" s="2" t="str">
        <x:v>F06, PDF p937</x:v>
      </x:c>
      <x:c r="G6" s="2"/>
      <x:c r="H6" s="2"/>
      <x:c r="I6" s="2"/>
      <x:c r="J6" s="2"/>
      <x:c r="K6" s="2"/>
      <x:c r="L6" s="2"/>
    </x:row>
    <x:row r="7" ht="23" customHeight="1">
      <x:c r="A7" s="2"/>
      <x:c r="B7" s="2"/>
      <x:c r="C7" s="2" t="str">
        <x:v>Operating levy rate / $1,000 AV</x:v>
      </x:c>
      <x:c r="D7" s="21" t="n">
        <x:v>1.37</x:v>
      </x:c>
      <x:c r="E7" s="2" t="str">
        <x:v>Source rate</x:v>
      </x:c>
      <x:c r="F7" s="2" t="str">
        <x:v>F02; F15</x:v>
      </x:c>
      <x:c r="G7" s="2"/>
      <x:c r="H7" s="2"/>
      <x:c r="I7" s="2"/>
      <x:c r="J7" s="2"/>
      <x:c r="K7" s="2"/>
      <x:c r="L7" s="2"/>
    </x:row>
    <x:row r="8" ht="23" customHeight="1">
      <x:c r="A8" s="2"/>
      <x:c r="B8" s="2"/>
      <x:c r="C8" s="2" t="str">
        <x:v>Total levy rate / $1,000 AV</x:v>
      </x:c>
      <x:c r="D8" s="21" t="n">
        <x:v>1.4</x:v>
      </x:c>
      <x:c r="E8" s="2" t="str">
        <x:v>Source rate</x:v>
      </x:c>
      <x:c r="F8" s="2" t="str">
        <x:v>F02; F15</x:v>
      </x:c>
      <x:c r="G8" s="2"/>
      <x:c r="H8" s="2"/>
      <x:c r="I8" s="2"/>
      <x:c r="J8" s="2"/>
      <x:c r="K8" s="2"/>
      <x:c r="L8" s="2"/>
    </x:row>
    <x:row r="9" ht="23" customHeight="1">
      <x:c r="A9" s="2"/>
      <x:c r="B9" s="2"/>
      <x:c r="C9" s="2" t="str">
        <x:v>Annual service-cost growth</x:v>
      </x:c>
      <x:c r="D9" s="13" t="n">
        <x:v>0.045</x:v>
      </x:c>
      <x:c r="E9" s="2" t="str">
        <x:v>Illustrative assumption; not PP&amp;R forecast</x:v>
      </x:c>
      <x:c r="F9" s="2" t="str">
        <x:v>Analyst assumption</x:v>
      </x:c>
      <x:c r="G9" s="2"/>
      <x:c r="H9" s="2"/>
      <x:c r="I9" s="2"/>
      <x:c r="J9" s="2"/>
      <x:c r="K9" s="2"/>
      <x:c r="L9" s="2"/>
    </x:row>
    <x:row r="10" ht="23" customHeight="1">
      <x:c r="A10" s="2"/>
      <x:c r="B10" s="2"/>
      <x:c r="C10" s="2" t="str">
        <x:v>Existing levy revenue growth</x:v>
      </x:c>
      <x:c r="D10" s="13" t="n">
        <x:v>0.03</x:v>
      </x:c>
      <x:c r="E10" s="2" t="str">
        <x:v>Illustrative net growth, not a legal aggregate cap</x:v>
      </x:c>
      <x:c r="F10" s="2" t="str">
        <x:v>Analyst assumption; F23 context</x:v>
      </x:c>
      <x:c r="G10" s="2"/>
      <x:c r="H10" s="2"/>
      <x:c r="I10" s="2"/>
      <x:c r="J10" s="2"/>
      <x:c r="K10" s="2"/>
      <x:c r="L10" s="2"/>
    </x:row>
    <x:row r="11" ht="23" customHeight="1">
      <x:c r="A11" s="2"/>
      <x:c r="B11" s="2"/>
      <x:c r="C11" s="2" t="str">
        <x:v>Replacement revenue growth</x:v>
      </x:c>
      <x:c r="D11" s="13" t="n">
        <x:v>0.03</x:v>
      </x:c>
      <x:c r="E11" s="2" t="str">
        <x:v>Illustrative annual growth after 2031</x:v>
      </x:c>
      <x:c r="F11" s="2" t="str">
        <x:v>Analyst assumption</x:v>
      </x:c>
      <x:c r="G11" s="2"/>
      <x:c r="H11" s="2"/>
      <x:c r="I11" s="2"/>
      <x:c r="J11" s="2"/>
      <x:c r="K11" s="2"/>
      <x:c r="L11" s="2"/>
    </x:row>
    <x:row r="12" ht="23" customHeight="1">
      <x:c r="A12" s="2"/>
      <x:c r="B12" s="2"/>
      <x:c r="C12" s="2" t="str">
        <x:v>Replacement initial buffer</x:v>
      </x:c>
      <x:c r="D12" s="13" t="n">
        <x:v>0.1</x:v>
      </x:c>
      <x:c r="E12" s="2" t="str">
        <x:v>10% above service cost at replacement</x:v>
      </x:c>
      <x:c r="F12" s="2" t="str">
        <x:v>Analyst assumption</x:v>
      </x:c>
      <x:c r="G12" s="2"/>
      <x:c r="H12" s="2"/>
      <x:c r="I12" s="2"/>
      <x:c r="J12" s="2"/>
      <x:c r="K12" s="2"/>
      <x:c r="L12" s="2"/>
    </x:row>
    <x:row r="13" ht="23" customHeight="1">
      <x:c r="A13" s="2"/>
      <x:c r="B13" s="2"/>
      <x:c r="C13" s="2" t="str">
        <x:v>Replacement fiscal start year</x:v>
      </x:c>
      <x:c r="D13" s="14" t="n">
        <x:v>2031</x:v>
      </x:c>
      <x:c r="E13" s="2" t="str">
        <x:v>FY2031–32; must follow current levy term</x:v>
      </x:c>
      <x:c r="F13" s="2" t="str">
        <x:v>F15 expiry; scenario replacement</x:v>
      </x:c>
      <x:c r="G13" s="2"/>
      <x:c r="H13" s="2"/>
      <x:c r="I13" s="2"/>
      <x:c r="J13" s="2"/>
      <x:c r="K13" s="2"/>
      <x:c r="L13" s="2"/>
    </x:row>
    <x:row r="14" ht="23" customHeight="1">
      <x:c r="A14" s="2"/>
      <x:c r="B14" s="2"/>
      <x:c r="C14" s="2" t="str">
        <x:v>Additional GF withdrawal ($M/year)</x:v>
      </x:c>
      <x:c r="D14" s="23" t="n">
        <x:v>0</x:v>
      </x:c>
      <x:c r="E14" s="2" t="str">
        <x:v>Constant nominal loss after replacement; incremental</x:v>
      </x:c>
      <x:c r="F14" s="2" t="str">
        <x:v>Analyst assumption; not actual City plan</x:v>
      </x:c>
      <x:c r="G14" s="2"/>
      <x:c r="H14" s="2"/>
      <x:c r="I14" s="2"/>
      <x:c r="J14" s="2"/>
      <x:c r="K14" s="2"/>
      <x:c r="L14" s="2"/>
    </x:row>
    <x:row r="15" ht="23" customHeight="1">
      <x:c r="A15" s="2"/>
      <x:c r="B15" s="2"/>
      <x:c r="C15" s="2" t="str">
        <x:v>First fiscal start year</x:v>
      </x:c>
      <x:c r="D15" s="22" t="n">
        <x:v>2026</x:v>
      </x:c>
      <x:c r="E15" s="2" t="str">
        <x:v>20 rows: FY2026–27 through FY2045–46</x:v>
      </x:c>
      <x:c r="F15" s="2" t="str">
        <x:v>Model calendar; fixed horizon</x:v>
      </x:c>
      <x:c r="G15" s="2"/>
      <x:c r="H15" s="2"/>
      <x:c r="I15" s="2"/>
      <x:c r="J15" s="2"/>
      <x:c r="K15" s="2"/>
      <x:c r="L15" s="2"/>
    </x:row>
    <x:row r="16" ht="23" customHeight="1">
      <x:c r="A16" s="2"/>
      <x:c r="B16" s="2"/>
      <x:c r="C16" s="2" t="str">
        <x:v>Renewal benchmark ($M, base-year)</x:v>
      </x:c>
      <x:c r="D16" s="12" t="n">
        <x:v>60</x:v>
      </x:c>
      <x:c r="E16" s="2" t="str">
        <x:v>2025 Council benchmark held as illustrative 2026-dollar target</x:v>
      </x:c>
      <x:c r="F16" s="2" t="str">
        <x:v>F02; update with asset plan</x:v>
      </x:c>
      <x:c r="G16" s="2"/>
      <x:c r="H16" s="2"/>
      <x:c r="I16" s="2"/>
      <x:c r="J16" s="2"/>
      <x:c r="K16" s="2"/>
      <x:c r="L16" s="2"/>
    </x:row>
    <x:row r="17" ht="23" customHeight="1">
      <x:c r="A17" s="2"/>
      <x:c r="B17" s="2"/>
      <x:c r="C17" s="2" t="str">
        <x:v>Existing GF capital ($M, base-year)</x:v>
      </x:c>
      <x:c r="D17" s="12" t="n">
        <x:v>5</x:v>
      </x:c>
      <x:c r="E17" s="2" t="str">
        <x:v>Approximate published benchmark; assumed indexed continuation</x:v>
      </x:c>
      <x:c r="F17" s="2" t="str">
        <x:v>F02; F22</x:v>
      </x:c>
      <x:c r="G17" s="2"/>
      <x:c r="H17" s="2"/>
      <x:c r="I17" s="2"/>
      <x:c r="J17" s="2"/>
      <x:c r="K17" s="2"/>
      <x:c r="L17" s="2"/>
    </x:row>
    <x:row r="18" ht="23" customHeight="1">
      <x:c r="A18" s="2"/>
      <x:c r="B18" s="2"/>
      <x:c r="C18" s="2" t="str">
        <x:v>Capital cost inflation</x:v>
      </x:c>
      <x:c r="D18" s="13" t="n">
        <x:v>0.03</x:v>
      </x:c>
      <x:c r="E18" s="2" t="str">
        <x:v>Illustrative inflation and GF funding index</x:v>
      </x:c>
      <x:c r="F18" s="2" t="str">
        <x:v>Analyst assumption</x:v>
      </x:c>
      <x:c r="G18" s="2"/>
      <x:c r="H18" s="2"/>
      <x:c r="I18" s="2"/>
      <x:c r="J18" s="2"/>
      <x:c r="K18" s="2"/>
      <x:c r="L18" s="2"/>
    </x:row>
    <x:row r="19" ht="23" customHeight="1">
      <x:c r="A19" s="2"/>
      <x:c r="B19" s="2"/>
      <x:c r="C19" s="2" t="str">
        <x:v>New pay-go capital ($M, base-year)</x:v>
      </x:c>
      <x:c r="D19" s="12" t="n">
        <x:v>55</x:v>
      </x:c>
      <x:c r="E19" s="2" t="str">
        <x:v>Unfunded planning requirement, not secured revenue</x:v>
      </x:c>
      <x:c r="F19" s="2" t="str">
        <x:v>Analyst assumption: 60 minus 5</x:v>
      </x:c>
      <x:c r="G19" s="2"/>
      <x:c r="H19" s="2"/>
      <x:c r="I19" s="2"/>
      <x:c r="J19" s="2"/>
      <x:c r="K19" s="2"/>
      <x:c r="L19" s="2"/>
    </x:row>
    <x:row r="20" ht="23" customHeight="1">
      <x:c r="A20" s="2"/>
      <x:c r="B20" s="2"/>
      <x:c r="C20" s="2" t="str">
        <x:v>New pay-go fiscal start year</x:v>
      </x:c>
      <x:c r="D20" s="14" t="n">
        <x:v>2028</x:v>
      </x:c>
      <x:c r="E20" s="2" t="str">
        <x:v>Illustrative implementation; no approved new source</x:v>
      </x:c>
      <x:c r="F20" s="2" t="str">
        <x:v>Analyst assumption</x:v>
      </x:c>
      <x:c r="G20" s="2"/>
      <x:c r="H20" s="2"/>
      <x:c r="I20" s="2"/>
      <x:c r="J20" s="2"/>
      <x:c r="K20" s="2"/>
      <x:c r="L20" s="2"/>
    </x:row>
    <x:row r="21" ht="23" customHeight="1">
      <x:c r="A21" s="2"/>
      <x:c r="B21" s="2"/>
      <x:c r="C21" s="2" t="str">
        <x:v>Illustrative bond principal ($M)</x:v>
      </x:c>
      <x:c r="D21" s="12" t="n">
        <x:v>150</x:v>
      </x:c>
      <x:c r="E21" s="2" t="str">
        <x:v>Standalone financing example; not added to Renewal</x:v>
      </x:c>
      <x:c r="F21" s="2" t="str">
        <x:v>Analyst assumption</x:v>
      </x:c>
      <x:c r="G21" s="2"/>
      <x:c r="H21" s="2"/>
      <x:c r="I21" s="2"/>
      <x:c r="J21" s="2"/>
      <x:c r="K21" s="2"/>
      <x:c r="L21" s="2"/>
    </x:row>
    <x:row r="22" ht="23" customHeight="1">
      <x:c r="A22" s="2"/>
      <x:c r="B22" s="2"/>
      <x:c r="C22" s="2" t="str">
        <x:v>Bond interest rate</x:v>
      </x:c>
      <x:c r="D22" s="13" t="n">
        <x:v>0.045</x:v>
      </x:c>
      <x:c r="E22" s="2" t="str">
        <x:v>Illustration, not market quote</x:v>
      </x:c>
      <x:c r="F22" s="2" t="str">
        <x:v>Analyst assumption</x:v>
      </x:c>
      <x:c r="G22" s="2"/>
      <x:c r="H22" s="2"/>
      <x:c r="I22" s="2"/>
      <x:c r="J22" s="2"/>
      <x:c r="K22" s="2"/>
      <x:c r="L22" s="2"/>
    </x:row>
    <x:row r="23" ht="23" customHeight="1">
      <x:c r="A23" s="2"/>
      <x:c r="B23" s="2"/>
      <x:c r="C23" s="2" t="str">
        <x:v>Bond term (years)</x:v>
      </x:c>
      <x:c r="D23" s="14" t="n">
        <x:v>20</x:v>
      </x:c>
      <x:c r="E23" s="2" t="str">
        <x:v>Annual level debt service; payment at year-end</x:v>
      </x:c>
      <x:c r="F23" s="2" t="str">
        <x:v>Analyst assumption</x:v>
      </x:c>
      <x:c r="G23" s="2"/>
      <x:c r="H23" s="2"/>
      <x:c r="I23" s="2"/>
      <x:c r="J23" s="2"/>
      <x:c r="K23" s="2"/>
      <x:c r="L23" s="2"/>
    </x:row>
    <x:row r="24" ht="23" customHeight="1">
      <x:c r="A24" s="2"/>
      <x:c r="B24" s="2"/>
      <x:c r="C24" s="2" t="str">
        <x:v>Bond issuance costs / principal</x:v>
      </x:c>
      <x:c r="D24" s="13" t="n">
        <x:v>0.02</x:v>
      </x:c>
      <x:c r="E24" s="2" t="str">
        <x:v>Illustrative; reduces usable proceeds</x:v>
      </x:c>
      <x:c r="F24" s="2" t="str">
        <x:v>Analyst assumption</x:v>
      </x:c>
      <x:c r="G24" s="2"/>
      <x:c r="H24" s="2"/>
      <x:c r="I24" s="2"/>
      <x:c r="J24" s="2"/>
      <x:c r="K24" s="2"/>
      <x:c r="L24" s="2"/>
    </x:row>
    <x:row r="25" ht="23" customHeight="1">
      <x:c r="A25" s="2"/>
      <x:c r="B25" s="2"/>
      <x:c r="C25" s="2" t="str">
        <x:v>Years to deploy net proceeds</x:v>
      </x:c>
      <x:c r="D25" s="14" t="n">
        <x:v>5</x:v>
      </x:c>
      <x:c r="E25" s="2" t="str">
        <x:v>Uniform nominal spending assumption</x:v>
      </x:c>
      <x:c r="F25" s="2" t="str">
        <x:v>Analyst assumption</x:v>
      </x:c>
      <x:c r="G25" s="2"/>
      <x:c r="H25" s="2"/>
      <x:c r="I25" s="2"/>
      <x:c r="J25" s="2"/>
      <x:c r="K25" s="2"/>
      <x:c r="L25" s="2"/>
    </x:row>
    <x:row r="26" ht="23" customHeight="1">
      <x:c r="A26" s="2"/>
      <x:c r="B26" s="2"/>
      <x:c r="C26" s="2" t="str">
        <x:v>Illustrative taxable AV ($M)</x:v>
      </x:c>
      <x:c r="D26" s="12" t="n">
        <x:v>70000</x:v>
      </x:c>
      <x:c r="E26" s="2" t="str">
        <x:v>Hypothetical tax base; NOT Portland certified AV</x:v>
      </x:c>
      <x:c r="F26" s="2" t="str">
        <x:v>Analyst assumption</x:v>
      </x:c>
      <x:c r="G26" s="2"/>
      <x:c r="H26" s="2"/>
      <x:c r="I26" s="2"/>
      <x:c r="J26" s="2"/>
      <x:c r="K26" s="2"/>
      <x:c r="L26" s="2"/>
    </x:row>
    <x:row r="27" ht="23" customHeight="1">
      <x:c r="A27" s="2"/>
      <x:c r="B27" s="2"/>
      <x:c r="C27" s="2" t="str">
        <x:v>Bond tax collection factor</x:v>
      </x:c>
      <x:c r="D27" s="13" t="n">
        <x:v>0.95</x:v>
      </x:c>
      <x:c r="E27" s="2" t="str">
        <x:v>Hypothetical collections; not compression</x:v>
      </x:c>
      <x:c r="F27" s="2" t="str">
        <x:v>Analyst assumption</x:v>
      </x:c>
      <x:c r="G27" s="2"/>
      <x:c r="H27" s="2"/>
      <x:c r="I27" s="2"/>
      <x:c r="J27" s="2"/>
      <x:c r="K27" s="2"/>
      <x:c r="L27" s="2"/>
    </x:row>
    <x:row r="28" ht="23" customHeight="1">
      <x:c r="A28" s="2"/>
      <x:c r="B28" s="2"/>
      <x:c r="C28" s="2" t="str">
        <x:v>Operating reserve target (months)</x:v>
      </x:c>
      <x:c r="D28" s="14" t="n">
        <x:v>3</x:v>
      </x:c>
      <x:c r="E28" s="2" t="str">
        <x:v>Policy illustration, not existing City reserve balance</x:v>
      </x:c>
      <x:c r="F28" s="2" t="str">
        <x:v>Analyst assumption</x:v>
      </x:c>
      <x:c r="G28" s="2"/>
      <x:c r="H28" s="2"/>
      <x:c r="I28" s="2"/>
      <x:c r="J28" s="2"/>
      <x:c r="K28" s="2"/>
      <x:c r="L28" s="2"/>
    </x:row>
    <x:row r="29" ht="23" customHeight="1">
      <x:c r="A29" s="2"/>
      <x:c r="B29" s="2"/>
      <x:c r="C29" s="2" t="str">
        <x:v>Illustrative property AV ($)</x:v>
      </x:c>
      <x:c r="D29" s="15" t="n">
        <x:v>300000</x:v>
      </x:c>
      <x:c r="E29" s="2" t="str">
        <x:v>Assessed value, not market value</x:v>
      </x:c>
      <x:c r="F29" s="2" t="str">
        <x:v>Analyst assumption</x:v>
      </x:c>
      <x:c r="G29" s="2"/>
      <x:c r="H29" s="2"/>
      <x:c r="I29" s="2"/>
      <x:c r="J29" s="2"/>
      <x:c r="K29" s="2"/>
      <x:c r="L29" s="2"/>
    </x:row>
    <x:row r="30" ht="23" customHeight="1">
      <x:c r="A30" s="2"/>
      <x:c r="B30" s="2"/>
      <x:c r="C30" s="2" t="str">
        <x:v>District receipts ($M/year)</x:v>
      </x:c>
      <x:c r="D30" s="12" t="n">
        <x:v>100</x:v>
      </x:c>
      <x:c r="E30" s="2" t="str">
        <x:v>Separate net-change illustration; NOT tax forecast</x:v>
      </x:c>
      <x:c r="F30" s="2" t="str">
        <x:v>Analyst assumption</x:v>
      </x:c>
      <x:c r="G30" s="2"/>
      <x:c r="H30" s="2"/>
      <x:c r="I30" s="2"/>
      <x:c r="J30" s="2"/>
      <x:c r="K30" s="2"/>
      <x:c r="L30" s="2"/>
    </x:row>
    <x:row r="31" ht="23" customHeight="1">
      <x:c r="A31" s="2"/>
      <x:c r="B31" s="2"/>
      <x:c r="C31" s="2" t="str">
        <x:v>Discontinued levy ($M/year)</x:v>
      </x:c>
      <x:c r="D31" s="12" t="n">
        <x:v>80</x:v>
      </x:c>
      <x:c r="E31" s="2" t="str">
        <x:v>Separate net-change illustration</x:v>
      </x:c>
      <x:c r="F31" s="2" t="str">
        <x:v>Analyst assumption</x:v>
      </x:c>
      <x:c r="G31" s="2"/>
      <x:c r="H31" s="2"/>
      <x:c r="I31" s="2"/>
      <x:c r="J31" s="2"/>
      <x:c r="K31" s="2"/>
      <x:c r="L31" s="2"/>
    </x:row>
    <x:row r="32" ht="23" customHeight="1">
      <x:c r="A32" s="2"/>
      <x:c r="B32" s="2"/>
      <x:c r="C32" s="2" t="str">
        <x:v>City support withdrawn ($M/year)</x:v>
      </x:c>
      <x:c r="D32" s="12" t="n">
        <x:v>20</x:v>
      </x:c>
      <x:c r="E32" s="2" t="str">
        <x:v>Separate net-change illustration</x:v>
      </x:c>
      <x:c r="F32" s="2" t="str">
        <x:v>Analyst assumption</x:v>
      </x:c>
      <x:c r="G32" s="2"/>
      <x:c r="H32" s="2"/>
      <x:c r="I32" s="2"/>
      <x:c r="J32" s="2"/>
      <x:c r="K32" s="2"/>
      <x:c r="L32" s="2"/>
    </x:row>
    <x:row r="33" ht="23" customHeight="1">
      <x:c r="A33" s="2"/>
      <x:c r="B33" s="2"/>
      <x:c r="C33" s="2" t="str">
        <x:v>Additional district overhead ($M)</x:v>
      </x:c>
      <x:c r="D33" s="12" t="n">
        <x:v>2</x:v>
      </x:c>
      <x:c r="E33" s="2" t="str">
        <x:v>Separate net-change illustration; NOT cost estimate</x:v>
      </x:c>
      <x:c r="F33" s="2" t="str">
        <x:v>Analyst assumption</x:v>
      </x:c>
      <x:c r="G33" s="2"/>
      <x:c r="H33" s="2"/>
      <x:c r="I33" s="2"/>
      <x:c r="J33" s="2"/>
      <x:c r="K33" s="2"/>
      <x:c r="L33" s="2"/>
    </x:row>
    <x:row r="34" ht="23" customHeight="1">
      <x:c r="A34" s="2"/>
      <x:c r="B34" s="2"/>
      <x:c r="C34" s="2" t="str">
        <x:v>First year without current levy</x:v>
      </x:c>
      <x:c r="D34" s="22" t="n">
        <x:v>2031</x:v>
      </x:c>
      <x:c r="E34" s="2" t="str">
        <x:v>Source expiry; independent of replacement timing</x:v>
      </x:c>
      <x:c r="F34" s="2" t="str">
        <x:v>F15: current levy ends June 2031</x:v>
      </x:c>
      <x:c r="G34" s="2"/>
      <x:c r="H34" s="2"/>
      <x:c r="I34" s="2"/>
      <x:c r="J34" s="2"/>
      <x:c r="K34" s="2"/>
      <x:c r="L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3" customHeight="1">
      <x:c r="A37" s="2"/>
      <x:c r="B37" s="2"/>
      <x:c r="C37" s="2" t="str">
        <x:v>Dollar inputs use millions unless labeled otherwise: enter 20 for $20 million. Enter 4.5% for a growth rate.</x:v>
      </x:c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3" customHeight="1">
      <x:c r="A38" s="2"/>
      <x:c r="B38" s="2"/>
      <x:c r="C38" s="2" t="str">
        <x:v>Operations: D9:D14 and D28. Renewal: D16:D20. Bond: D21:D27 and D29. District comparison: D30:D33.</x:v>
      </x:c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3" customHeight="1">
      <x:c r="A39" s="2"/>
      <x:c r="B39" s="2"/>
      <x:c r="C39" s="2" t="str">
        <x:v>Read the result on Summary, then inspect Operations, Renewal or Financing. Undo your change before trying another.</x:v>
      </x:c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3" customHeight="1">
      <x:c r="A40" s="2"/>
      <x:c r="B40" s="2"/>
      <x:c r="C40" s="2" t="str">
        <x:v>The district and bond examples are separate calculations. They do not automatically fund the operating or renewal plans.</x:v>
      </x:c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</x:sheetData>
  <x:dataValidations count="1">
    <x:dataValidation type="whole" operator="greaterThanOrEqual" sqref="D13">
      <x:formula1>2031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16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3" customHeight="1">
      <x:c r="A2" s="2"/>
      <x:c r="B2" s="2"/>
      <x:c r="C2" s="3" t="str">
        <x:v>Operations</x:v>
      </x:c>
      <x:c r="D2" s="2"/>
      <x:c r="E2" s="2"/>
      <x:c r="F2" s="2"/>
      <x:c r="G2" s="2"/>
      <x:c r="H2" s="2"/>
      <x:c r="I2" s="2"/>
      <x:c r="J2" s="2"/>
      <x:c r="K2" s="2"/>
      <x:c r="L2" s="2"/>
    </x:row>
    <x:row r="3" ht="23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3" customHeight="1">
      <x:c r="A4" s="2"/>
      <x:c r="B4" s="2"/>
      <x:c r="C4" s="2" t="str">
        <x:v>Levy-supported service block only; NOT a consolidated PP&amp;R operating budget. Nominal $M.</x:v>
      </x:c>
      <x:c r="D4" s="2"/>
      <x:c r="E4" s="2"/>
      <x:c r="F4" s="2"/>
      <x:c r="G4" s="2"/>
      <x:c r="H4" s="2"/>
      <x:c r="I4" s="2"/>
      <x:c r="J4" s="2"/>
      <x:c r="K4" s="2"/>
      <x:c r="L4" s="2"/>
    </x:row>
    <x:row r="5" ht="32" customHeight="1">
      <x:c r="A5" s="2"/>
      <x:c r="B5" s="2"/>
      <x:c r="C5" s="9" t="str">
        <x:v>Fiscal start</x:v>
      </x:c>
      <x:c r="D5" s="9" t="str">
        <x:v>Service cost</x:v>
      </x:c>
      <x:c r="E5" s="9" t="str">
        <x:v>Current levy</x:v>
      </x:c>
      <x:c r="F5" s="9" t="str">
        <x:v>Replacement</x:v>
      </x:c>
      <x:c r="G5" s="9" t="str">
        <x:v>GF loss</x:v>
      </x:c>
      <x:c r="H5" s="9" t="str">
        <x:v>Available</x:v>
      </x:c>
      <x:c r="I5" s="9" t="str">
        <x:v>Shortfall</x:v>
      </x:c>
      <x:c r="J5" s="9" t="str">
        <x:v>Reserve target</x:v>
      </x:c>
      <x:c r="K5" s="2"/>
      <x:c r="L5" s="2"/>
    </x:row>
    <x:row r="6" ht="23" customHeight="1">
      <x:c r="A6" s="2"/>
      <x:c r="B6" s="2"/>
      <x:c r="C6" s="24" t="n">
        <x:f>Inputs!D15</x:f>
        <x:v>2026</x:v>
      </x:c>
      <x:c r="D6" s="26" t="n">
        <x:f>Inputs!D6*Inputs!D7/Inputs!D8</x:f>
        <x:v>79.82737822142859</x:v>
      </x:c>
      <x:c r="E6" s="26" t="n">
        <x:f>IF(C6&lt;Inputs!$D$34,$D$6*(1+Inputs!$D$10)^(C6-Inputs!$D$15),0)</x:f>
        <x:v>79.82737822142859</x:v>
      </x:c>
      <x:c r="F6" s="26" t="n">
        <x:f>IF(C6&gt;=Inputs!$D$13,$D$6*(1+Inputs!$D$9)^(Inputs!$D$13-Inputs!$D$15)*(1+Inputs!$D$12)*(1+Inputs!$D$11)^(C6-Inputs!$D$13),0)</x:f>
        <x:v>0</x:v>
      </x:c>
      <x:c r="G6" s="26" t="n">
        <x:f>IF(C6&gt;=Inputs!$D$13,Inputs!$D$14,0)</x:f>
        <x:v>0</x:v>
      </x:c>
      <x:c r="H6" s="27" t="n">
        <x:f>E6+F6-G6</x:f>
        <x:v>79.82737822142859</x:v>
      </x:c>
      <x:c r="I6" s="27" t="n">
        <x:f>D6-H6</x:f>
        <x:v>0</x:v>
      </x:c>
      <x:c r="J6" s="26" t="n">
        <x:f>D6*Inputs!$D$28/12</x:f>
        <x:v>19.956844555357147</x:v>
      </x:c>
      <x:c r="K6" s="2"/>
      <x:c r="L6" s="2"/>
    </x:row>
    <x:row r="7" ht="23" customHeight="1">
      <x:c r="A7" s="2"/>
      <x:c r="B7" s="2"/>
      <x:c r="C7" s="25" t="n">
        <x:f>C6+1</x:f>
        <x:v>2027</x:v>
      </x:c>
      <x:c r="D7" s="26" t="n">
        <x:f>D6*(1+Inputs!$D$9)</x:f>
        <x:v>83.41961024139287</x:v>
      </x:c>
      <x:c r="E7" s="26" t="n">
        <x:f>IF(C7&lt;Inputs!$D$34,$D$6*(1+Inputs!$D$10)^(C7-Inputs!$D$15),0)</x:f>
        <x:v>82.22219956807145</x:v>
      </x:c>
      <x:c r="F7" s="26" t="n">
        <x:f>IF(C7&gt;=Inputs!$D$13,$D$6*(1+Inputs!$D$9)^(Inputs!$D$13-Inputs!$D$15)*(1+Inputs!$D$12)*(1+Inputs!$D$11)^(C7-Inputs!$D$13),0)</x:f>
        <x:v>0</x:v>
      </x:c>
      <x:c r="G7" s="26" t="n">
        <x:f>IF(C7&gt;=Inputs!$D$13,Inputs!$D$14,0)</x:f>
        <x:v>0</x:v>
      </x:c>
      <x:c r="H7" s="27" t="n">
        <x:f>E7+F7-G7</x:f>
        <x:v>82.22219956807145</x:v>
      </x:c>
      <x:c r="I7" s="27" t="n">
        <x:f>D7-H7</x:f>
        <x:v>1.1974106733214285</x:v>
      </x:c>
      <x:c r="J7" s="26" t="n">
        <x:f>D7*Inputs!$D$28/12</x:f>
        <x:v>20.85490256034822</x:v>
      </x:c>
      <x:c r="K7" s="2"/>
      <x:c r="L7" s="2"/>
    </x:row>
    <x:row r="8" ht="23" customHeight="1">
      <x:c r="A8" s="2"/>
      <x:c r="B8" s="2"/>
      <x:c r="C8" s="25" t="n">
        <x:f>C7+1</x:f>
        <x:v>2028</x:v>
      </x:c>
      <x:c r="D8" s="26" t="n">
        <x:f>D7*(1+Inputs!$D$9)</x:f>
        <x:v>87.17349270225554</x:v>
      </x:c>
      <x:c r="E8" s="26" t="n">
        <x:f>IF(C8&lt;Inputs!$D$34,$D$6*(1+Inputs!$D$10)^(C8-Inputs!$D$15),0)</x:f>
        <x:v>84.68886555511358</x:v>
      </x:c>
      <x:c r="F8" s="26" t="n">
        <x:f>IF(C8&gt;=Inputs!$D$13,$D$6*(1+Inputs!$D$9)^(Inputs!$D$13-Inputs!$D$15)*(1+Inputs!$D$12)*(1+Inputs!$D$11)^(C8-Inputs!$D$13),0)</x:f>
        <x:v>0</x:v>
      </x:c>
      <x:c r="G8" s="26" t="n">
        <x:f>IF(C8&gt;=Inputs!$D$13,Inputs!$D$14,0)</x:f>
        <x:v>0</x:v>
      </x:c>
      <x:c r="H8" s="27" t="n">
        <x:f>E8+F8-G8</x:f>
        <x:v>84.68886555511358</x:v>
      </x:c>
      <x:c r="I8" s="27" t="n">
        <x:f>D8-H8</x:f>
        <x:v>2.484627147141964</x:v>
      </x:c>
      <x:c r="J8" s="26" t="n">
        <x:f>D8*Inputs!$D$28/12</x:f>
        <x:v>21.793373175563886</x:v>
      </x:c>
      <x:c r="K8" s="2"/>
      <x:c r="L8" s="2"/>
    </x:row>
    <x:row r="9" ht="23" customHeight="1">
      <x:c r="A9" s="2"/>
      <x:c r="B9" s="2"/>
      <x:c r="C9" s="25" t="n">
        <x:f>C8+1</x:f>
        <x:v>2029</x:v>
      </x:c>
      <x:c r="D9" s="26" t="n">
        <x:f>D8*(1+Inputs!$D$9)</x:f>
        <x:v>91.09629987385703</x:v>
      </x:c>
      <x:c r="E9" s="26" t="n">
        <x:f>IF(C9&lt;Inputs!$D$34,$D$6*(1+Inputs!$D$10)^(C9-Inputs!$D$15),0)</x:f>
        <x:v>87.229531521767</x:v>
      </x:c>
      <x:c r="F9" s="26" t="n">
        <x:f>IF(C9&gt;=Inputs!$D$13,$D$6*(1+Inputs!$D$9)^(Inputs!$D$13-Inputs!$D$15)*(1+Inputs!$D$12)*(1+Inputs!$D$11)^(C9-Inputs!$D$13),0)</x:f>
        <x:v>0</x:v>
      </x:c>
      <x:c r="G9" s="26" t="n">
        <x:f>IF(C9&gt;=Inputs!$D$13,Inputs!$D$14,0)</x:f>
        <x:v>0</x:v>
      </x:c>
      <x:c r="H9" s="27" t="n">
        <x:f>E9+F9-G9</x:f>
        <x:v>87.229531521767</x:v>
      </x:c>
      <x:c r="I9" s="27" t="n">
        <x:f>D9-H9</x:f>
        <x:v>3.866768352090034</x:v>
      </x:c>
      <x:c r="J9" s="26" t="n">
        <x:f>D9*Inputs!$D$28/12</x:f>
        <x:v>22.77407496846426</x:v>
      </x:c>
      <x:c r="K9" s="2"/>
      <x:c r="L9" s="2"/>
    </x:row>
    <x:row r="10" ht="23" customHeight="1">
      <x:c r="A10" s="2"/>
      <x:c r="B10" s="2"/>
      <x:c r="C10" s="25" t="n">
        <x:f>C9+1</x:f>
        <x:v>2030</x:v>
      </x:c>
      <x:c r="D10" s="26" t="n">
        <x:f>D9*(1+Inputs!$D$9)</x:f>
        <x:v>95.1956333681806</x:v>
      </x:c>
      <x:c r="E10" s="26" t="n">
        <x:f>IF(C10&lt;Inputs!$D$34,$D$6*(1+Inputs!$D$10)^(C10-Inputs!$D$15),0)</x:f>
        <x:v>89.84641746742003</x:v>
      </x:c>
      <x:c r="F10" s="26" t="n">
        <x:f>IF(C10&gt;=Inputs!$D$13,$D$6*(1+Inputs!$D$9)^(Inputs!$D$13-Inputs!$D$15)*(1+Inputs!$D$12)*(1+Inputs!$D$11)^(C10-Inputs!$D$13),0)</x:f>
        <x:v>0</x:v>
      </x:c>
      <x:c r="G10" s="26" t="n">
        <x:f>IF(C10&gt;=Inputs!$D$13,Inputs!$D$14,0)</x:f>
        <x:v>0</x:v>
      </x:c>
      <x:c r="H10" s="27" t="n">
        <x:f>E10+F10-G10</x:f>
        <x:v>89.84641746742003</x:v>
      </x:c>
      <x:c r="I10" s="27" t="n">
        <x:f>D10-H10</x:f>
        <x:v>5.349215900760569</x:v>
      </x:c>
      <x:c r="J10" s="26" t="n">
        <x:f>D10*Inputs!$D$28/12</x:f>
        <x:v>23.79890834204515</x:v>
      </x:c>
      <x:c r="K10" s="2"/>
      <x:c r="L10" s="2"/>
    </x:row>
    <x:row r="11" ht="23" customHeight="1">
      <x:c r="A11" s="2"/>
      <x:c r="B11" s="2"/>
      <x:c r="C11" s="25" t="n">
        <x:f>C10+1</x:f>
        <x:v>2031</x:v>
      </x:c>
      <x:c r="D11" s="26" t="n">
        <x:f>D10*(1+Inputs!$D$9)</x:f>
        <x:v>99.47943686974871</x:v>
      </x:c>
      <x:c r="E11" s="26" t="n">
        <x:f>IF(C11&lt;Inputs!$D$34,$D$6*(1+Inputs!$D$10)^(C11-Inputs!$D$15),0)</x:f>
        <x:v>0</x:v>
      </x:c>
      <x:c r="F11" s="26" t="n">
        <x:f>IF(C11&gt;=Inputs!$D$13,$D$6*(1+Inputs!$D$9)^(Inputs!$D$13-Inputs!$D$15)*(1+Inputs!$D$12)*(1+Inputs!$D$11)^(C11-Inputs!$D$13),0)</x:f>
        <x:v>109.4273805567236</x:v>
      </x:c>
      <x:c r="G11" s="26" t="n">
        <x:f>IF(C11&gt;=Inputs!$D$13,Inputs!$D$14,0)</x:f>
        <x:v>0</x:v>
      </x:c>
      <x:c r="H11" s="27" t="n">
        <x:f>E11+F11-G11</x:f>
        <x:v>109.4273805567236</x:v>
      </x:c>
      <x:c r="I11" s="27" t="n">
        <x:f>D11-H11</x:f>
        <x:v>-9.947943686974895</x:v>
      </x:c>
      <x:c r="J11" s="26" t="n">
        <x:f>D11*Inputs!$D$28/12</x:f>
        <x:v>24.869859217437178</x:v>
      </x:c>
      <x:c r="K11" s="2"/>
      <x:c r="L11" s="2"/>
    </x:row>
    <x:row r="12" ht="23" customHeight="1">
      <x:c r="A12" s="2"/>
      <x:c r="B12" s="2"/>
      <x:c r="C12" s="25" t="n">
        <x:f>C11+1</x:f>
        <x:v>2032</x:v>
      </x:c>
      <x:c r="D12" s="26" t="n">
        <x:f>D11*(1+Inputs!$D$9)</x:f>
        <x:v>103.9560115288874</x:v>
      </x:c>
      <x:c r="E12" s="26" t="n">
        <x:f>IF(C12&lt;Inputs!$D$34,$D$6*(1+Inputs!$D$10)^(C12-Inputs!$D$15),0)</x:f>
        <x:v>0</x:v>
      </x:c>
      <x:c r="F12" s="26" t="n">
        <x:f>IF(C12&gt;=Inputs!$D$13,$D$6*(1+Inputs!$D$9)^(Inputs!$D$13-Inputs!$D$15)*(1+Inputs!$D$12)*(1+Inputs!$D$11)^(C12-Inputs!$D$13),0)</x:f>
        <x:v>112.71020197342531</x:v>
      </x:c>
      <x:c r="G12" s="26" t="n">
        <x:f>IF(C12&gt;=Inputs!$D$13,Inputs!$D$14,0)</x:f>
        <x:v>0</x:v>
      </x:c>
      <x:c r="H12" s="27" t="n">
        <x:f>E12+F12-G12</x:f>
        <x:v>112.71020197342531</x:v>
      </x:c>
      <x:c r="I12" s="27" t="n">
        <x:f>D12-H12</x:f>
        <x:v>-8.754190444537912</x:v>
      </x:c>
      <x:c r="J12" s="26" t="n">
        <x:f>D12*Inputs!$D$28/12</x:f>
        <x:v>25.98900288222185</x:v>
      </x:c>
      <x:c r="K12" s="2"/>
      <x:c r="L12" s="2"/>
    </x:row>
    <x:row r="13" ht="23" customHeight="1">
      <x:c r="A13" s="2"/>
      <x:c r="B13" s="2"/>
      <x:c r="C13" s="25" t="n">
        <x:f>C12+1</x:f>
        <x:v>2033</x:v>
      </x:c>
      <x:c r="D13" s="26" t="n">
        <x:f>D12*(1+Inputs!$D$9)</x:f>
        <x:v>108.63403204768733</x:v>
      </x:c>
      <x:c r="E13" s="26" t="n">
        <x:f>IF(C13&lt;Inputs!$D$34,$D$6*(1+Inputs!$D$10)^(C13-Inputs!$D$15),0)</x:f>
        <x:v>0</x:v>
      </x:c>
      <x:c r="F13" s="26" t="n">
        <x:f>IF(C13&gt;=Inputs!$D$13,$D$6*(1+Inputs!$D$9)^(Inputs!$D$13-Inputs!$D$15)*(1+Inputs!$D$12)*(1+Inputs!$D$11)^(C13-Inputs!$D$13),0)</x:f>
        <x:v>116.09150803262807</x:v>
      </x:c>
      <x:c r="G13" s="26" t="n">
        <x:f>IF(C13&gt;=Inputs!$D$13,Inputs!$D$14,0)</x:f>
        <x:v>0</x:v>
      </x:c>
      <x:c r="H13" s="27" t="n">
        <x:f>E13+F13-G13</x:f>
        <x:v>116.09150803262807</x:v>
      </x:c>
      <x:c r="I13" s="27" t="n">
        <x:f>D13-H13</x:f>
        <x:v>-7.457475984940743</x:v>
      </x:c>
      <x:c r="J13" s="26" t="n">
        <x:f>D13*Inputs!$D$28/12</x:f>
        <x:v>27.15850801192183</x:v>
      </x:c>
      <x:c r="K13" s="2"/>
      <x:c r="L13" s="2"/>
    </x:row>
    <x:row r="14" ht="23" customHeight="1">
      <x:c r="A14" s="2"/>
      <x:c r="B14" s="2"/>
      <x:c r="C14" s="25" t="n">
        <x:f>C13+1</x:f>
        <x:v>2034</x:v>
      </x:c>
      <x:c r="D14" s="26" t="n">
        <x:f>D13*(1+Inputs!$D$9)</x:f>
        <x:v>113.52256348983325</x:v>
      </x:c>
      <x:c r="E14" s="26" t="n">
        <x:f>IF(C14&lt;Inputs!$D$34,$D$6*(1+Inputs!$D$10)^(C14-Inputs!$D$15),0)</x:f>
        <x:v>0</x:v>
      </x:c>
      <x:c r="F14" s="26" t="n">
        <x:f>IF(C14&gt;=Inputs!$D$13,$D$6*(1+Inputs!$D$9)^(Inputs!$D$13-Inputs!$D$15)*(1+Inputs!$D$12)*(1+Inputs!$D$11)^(C14-Inputs!$D$13),0)</x:f>
        <x:v>119.57425327360691</x:v>
      </x:c>
      <x:c r="G14" s="26" t="n">
        <x:f>IF(C14&gt;=Inputs!$D$13,Inputs!$D$14,0)</x:f>
        <x:v>0</x:v>
      </x:c>
      <x:c r="H14" s="27" t="n">
        <x:f>E14+F14-G14</x:f>
        <x:v>119.57425327360691</x:v>
      </x:c>
      <x:c r="I14" s="27" t="n">
        <x:f>D14-H14</x:f>
        <x:v>-6.051689783773668</x:v>
      </x:c>
      <x:c r="J14" s="26" t="n">
        <x:f>D14*Inputs!$D$28/12</x:f>
        <x:v>28.38064087245831</x:v>
      </x:c>
      <x:c r="K14" s="2"/>
      <x:c r="L14" s="2"/>
    </x:row>
    <x:row r="15" ht="23" customHeight="1">
      <x:c r="A15" s="2"/>
      <x:c r="B15" s="2"/>
      <x:c r="C15" s="25" t="n">
        <x:f>C14+1</x:f>
        <x:v>2035</x:v>
      </x:c>
      <x:c r="D15" s="26" t="n">
        <x:f>D14*(1+Inputs!$D$9)</x:f>
        <x:v>118.63107884687574</x:v>
      </x:c>
      <x:c r="E15" s="26" t="n">
        <x:f>IF(C15&lt;Inputs!$D$34,$D$6*(1+Inputs!$D$10)^(C15-Inputs!$D$15),0)</x:f>
        <x:v>0</x:v>
      </x:c>
      <x:c r="F15" s="26" t="n">
        <x:f>IF(C15&gt;=Inputs!$D$13,$D$6*(1+Inputs!$D$9)^(Inputs!$D$13-Inputs!$D$15)*(1+Inputs!$D$12)*(1+Inputs!$D$11)^(C15-Inputs!$D$13),0)</x:f>
        <x:v>123.16148087181514</x:v>
      </x:c>
      <x:c r="G15" s="26" t="n">
        <x:f>IF(C15&gt;=Inputs!$D$13,Inputs!$D$14,0)</x:f>
        <x:v>0</x:v>
      </x:c>
      <x:c r="H15" s="27" t="n">
        <x:f>E15+F15-G15</x:f>
        <x:v>123.16148087181514</x:v>
      </x:c>
      <x:c r="I15" s="27" t="n">
        <x:f>D15-H15</x:f>
        <x:v>-4.530402024939406</x:v>
      </x:c>
      <x:c r="J15" s="26" t="n">
        <x:f>D15*Inputs!$D$28/12</x:f>
        <x:v>29.65776971171893</x:v>
      </x:c>
      <x:c r="K15" s="2"/>
      <x:c r="L15" s="2"/>
    </x:row>
    <x:row r="16" ht="23" customHeight="1">
      <x:c r="A16" s="2"/>
      <x:c r="B16" s="2"/>
      <x:c r="C16" s="25" t="n">
        <x:f>C15+1</x:f>
        <x:v>2036</x:v>
      </x:c>
      <x:c r="D16" s="26" t="n">
        <x:f>D15*(1+Inputs!$D$9)</x:f>
        <x:v>123.96947739498513</x:v>
      </x:c>
      <x:c r="E16" s="26" t="n">
        <x:f>IF(C16&lt;Inputs!$D$34,$D$6*(1+Inputs!$D$10)^(C16-Inputs!$D$15),0)</x:f>
        <x:v>0</x:v>
      </x:c>
      <x:c r="F16" s="26" t="n">
        <x:f>IF(C16&gt;=Inputs!$D$13,$D$6*(1+Inputs!$D$9)^(Inputs!$D$13-Inputs!$D$15)*(1+Inputs!$D$12)*(1+Inputs!$D$11)^(C16-Inputs!$D$13),0)</x:f>
        <x:v>126.85632529796959</x:v>
      </x:c>
      <x:c r="G16" s="26" t="n">
        <x:f>IF(C16&gt;=Inputs!$D$13,Inputs!$D$14,0)</x:f>
        <x:v>0</x:v>
      </x:c>
      <x:c r="H16" s="27" t="n">
        <x:f>E16+F16-G16</x:f>
        <x:v>126.85632529796959</x:v>
      </x:c>
      <x:c r="I16" s="27" t="n">
        <x:f>D16-H16</x:f>
        <x:v>-2.8868479029844565</x:v>
      </x:c>
      <x:c r="J16" s="26" t="n">
        <x:f>D16*Inputs!$D$28/12</x:f>
        <x:v>30.992369348746283</x:v>
      </x:c>
      <x:c r="K16" s="2"/>
      <x:c r="L16" s="2"/>
    </x:row>
    <x:row r="17" ht="23" customHeight="1">
      <x:c r="A17" s="2"/>
      <x:c r="B17" s="2"/>
      <x:c r="C17" s="25" t="n">
        <x:f>C16+1</x:f>
        <x:v>2037</x:v>
      </x:c>
      <x:c r="D17" s="26" t="n">
        <x:f>D16*(1+Inputs!$D$9)</x:f>
        <x:v>129.54810387775944</x:v>
      </x:c>
      <x:c r="E17" s="26" t="n">
        <x:f>IF(C17&lt;Inputs!$D$34,$D$6*(1+Inputs!$D$10)^(C17-Inputs!$D$15),0)</x:f>
        <x:v>0</x:v>
      </x:c>
      <x:c r="F17" s="26" t="n">
        <x:f>IF(C17&gt;=Inputs!$D$13,$D$6*(1+Inputs!$D$9)^(Inputs!$D$13-Inputs!$D$15)*(1+Inputs!$D$12)*(1+Inputs!$D$11)^(C17-Inputs!$D$13),0)</x:f>
        <x:v>130.66201505690867</x:v>
      </x:c>
      <x:c r="G17" s="26" t="n">
        <x:f>IF(C17&gt;=Inputs!$D$13,Inputs!$D$14,0)</x:f>
        <x:v>0</x:v>
      </x:c>
      <x:c r="H17" s="27" t="n">
        <x:f>E17+F17-G17</x:f>
        <x:v>130.66201505690867</x:v>
      </x:c>
      <x:c r="I17" s="27" t="n">
        <x:f>D17-H17</x:f>
        <x:v>-1.1139111791492269</x:v>
      </x:c>
      <x:c r="J17" s="26" t="n">
        <x:f>D17*Inputs!$D$28/12</x:f>
        <x:v>32.38702596943986</x:v>
      </x:c>
      <x:c r="K17" s="2"/>
      <x:c r="L17" s="2"/>
    </x:row>
    <x:row r="18" ht="23" customHeight="1">
      <x:c r="A18" s="2"/>
      <x:c r="B18" s="2"/>
      <x:c r="C18" s="25" t="n">
        <x:f>C17+1</x:f>
        <x:v>2038</x:v>
      </x:c>
      <x:c r="D18" s="26" t="n">
        <x:f>D17*(1+Inputs!$D$9)</x:f>
        <x:v>135.3777685522586</x:v>
      </x:c>
      <x:c r="E18" s="26" t="n">
        <x:f>IF(C18&lt;Inputs!$D$34,$D$6*(1+Inputs!$D$10)^(C18-Inputs!$D$15),0)</x:f>
        <x:v>0</x:v>
      </x:c>
      <x:c r="F18" s="26" t="n">
        <x:f>IF(C18&gt;=Inputs!$D$13,$D$6*(1+Inputs!$D$9)^(Inputs!$D$13-Inputs!$D$15)*(1+Inputs!$D$12)*(1+Inputs!$D$11)^(C18-Inputs!$D$13),0)</x:f>
        <x:v>134.58187550861595</x:v>
      </x:c>
      <x:c r="G18" s="26" t="n">
        <x:f>IF(C18&gt;=Inputs!$D$13,Inputs!$D$14,0)</x:f>
        <x:v>0</x:v>
      </x:c>
      <x:c r="H18" s="27" t="n">
        <x:f>E18+F18-G18</x:f>
        <x:v>134.58187550861595</x:v>
      </x:c>
      <x:c r="I18" s="27" t="n">
        <x:f>D18-H18</x:f>
        <x:v>0.7958930436426499</x:v>
      </x:c>
      <x:c r="J18" s="26" t="n">
        <x:f>D18*Inputs!$D$28/12</x:f>
        <x:v>33.84444213806465</x:v>
      </x:c>
      <x:c r="K18" s="2"/>
      <x:c r="L18" s="2"/>
    </x:row>
    <x:row r="19" ht="23" customHeight="1">
      <x:c r="A19" s="2"/>
      <x:c r="B19" s="2"/>
      <x:c r="C19" s="25" t="n">
        <x:f>C18+1</x:f>
        <x:v>2039</x:v>
      </x:c>
      <x:c r="D19" s="26" t="n">
        <x:f>D18*(1+Inputs!$D$9)</x:f>
        <x:v>141.46976813711024</x:v>
      </x:c>
      <x:c r="E19" s="26" t="n">
        <x:f>IF(C19&lt;Inputs!$D$34,$D$6*(1+Inputs!$D$10)^(C19-Inputs!$D$15),0)</x:f>
        <x:v>0</x:v>
      </x:c>
      <x:c r="F19" s="26" t="n">
        <x:f>IF(C19&gt;=Inputs!$D$13,$D$6*(1+Inputs!$D$9)^(Inputs!$D$13-Inputs!$D$15)*(1+Inputs!$D$12)*(1+Inputs!$D$11)^(C19-Inputs!$D$13),0)</x:f>
        <x:v>138.61933177387442</x:v>
      </x:c>
      <x:c r="G19" s="26" t="n">
        <x:f>IF(C19&gt;=Inputs!$D$13,Inputs!$D$14,0)</x:f>
        <x:v>0</x:v>
      </x:c>
      <x:c r="H19" s="27" t="n">
        <x:f>E19+F19-G19</x:f>
        <x:v>138.61933177387442</x:v>
      </x:c>
      <x:c r="I19" s="27" t="n">
        <x:f>D19-H19</x:f>
        <x:v>2.850436363235815</x:v>
      </x:c>
      <x:c r="J19" s="26" t="n">
        <x:f>D19*Inputs!$D$28/12</x:f>
        <x:v>35.36744203427756</x:v>
      </x:c>
      <x:c r="K19" s="2"/>
      <x:c r="L19" s="2"/>
    </x:row>
    <x:row r="20" ht="23" customHeight="1">
      <x:c r="A20" s="2"/>
      <x:c r="B20" s="2"/>
      <x:c r="C20" s="25" t="n">
        <x:f>C19+1</x:f>
        <x:v>2040</x:v>
      </x:c>
      <x:c r="D20" s="26" t="n">
        <x:f>D19*(1+Inputs!$D$9)</x:f>
        <x:v>147.83590770328018</x:v>
      </x:c>
      <x:c r="E20" s="26" t="n">
        <x:f>IF(C20&lt;Inputs!$D$34,$D$6*(1+Inputs!$D$10)^(C20-Inputs!$D$15),0)</x:f>
        <x:v>0</x:v>
      </x:c>
      <x:c r="F20" s="26" t="n">
        <x:f>IF(C20&gt;=Inputs!$D$13,$D$6*(1+Inputs!$D$9)^(Inputs!$D$13-Inputs!$D$15)*(1+Inputs!$D$12)*(1+Inputs!$D$11)^(C20-Inputs!$D$13),0)</x:f>
        <x:v>142.77791172709067</x:v>
      </x:c>
      <x:c r="G20" s="26" t="n">
        <x:f>IF(C20&gt;=Inputs!$D$13,Inputs!$D$14,0)</x:f>
        <x:v>0</x:v>
      </x:c>
      <x:c r="H20" s="27" t="n">
        <x:f>E20+F20-G20</x:f>
        <x:v>142.77791172709067</x:v>
      </x:c>
      <x:c r="I20" s="27" t="n">
        <x:f>D20-H20</x:f>
        <x:v>5.057995976189517</x:v>
      </x:c>
      <x:c r="J20" s="26" t="n">
        <x:f>D20*Inputs!$D$28/12</x:f>
        <x:v>36.958976925820046</x:v>
      </x:c>
      <x:c r="K20" s="2"/>
      <x:c r="L20" s="2"/>
    </x:row>
    <x:row r="21" ht="23" customHeight="1">
      <x:c r="A21" s="2"/>
      <x:c r="B21" s="2"/>
      <x:c r="C21" s="25" t="n">
        <x:f>C20+1</x:f>
        <x:v>2041</x:v>
      </x:c>
      <x:c r="D21" s="26" t="n">
        <x:f>D20*(1+Inputs!$D$9)</x:f>
        <x:v>154.48852354992778</x:v>
      </x:c>
      <x:c r="E21" s="26" t="n">
        <x:f>IF(C21&lt;Inputs!$D$34,$D$6*(1+Inputs!$D$10)^(C21-Inputs!$D$15),0)</x:f>
        <x:v>0</x:v>
      </x:c>
      <x:c r="F21" s="26" t="n">
        <x:f>IF(C21&gt;=Inputs!$D$13,$D$6*(1+Inputs!$D$9)^(Inputs!$D$13-Inputs!$D$15)*(1+Inputs!$D$12)*(1+Inputs!$D$11)^(C21-Inputs!$D$13),0)</x:f>
        <x:v>147.0612490789034</x:v>
      </x:c>
      <x:c r="G21" s="26" t="n">
        <x:f>IF(C21&gt;=Inputs!$D$13,Inputs!$D$14,0)</x:f>
        <x:v>0</x:v>
      </x:c>
      <x:c r="H21" s="27" t="n">
        <x:f>E21+F21-G21</x:f>
        <x:v>147.0612490789034</x:v>
      </x:c>
      <x:c r="I21" s="27" t="n">
        <x:f>D21-H21</x:f>
        <x:v>7.42727447102439</x:v>
      </x:c>
      <x:c r="J21" s="26" t="n">
        <x:f>D21*Inputs!$D$28/12</x:f>
        <x:v>38.622130887481944</x:v>
      </x:c>
      <x:c r="K21" s="2"/>
      <x:c r="L21" s="2"/>
    </x:row>
    <x:row r="22" ht="23" customHeight="1">
      <x:c r="A22" s="2"/>
      <x:c r="B22" s="2"/>
      <x:c r="C22" s="25" t="n">
        <x:f>C21+1</x:f>
        <x:v>2042</x:v>
      </x:c>
      <x:c r="D22" s="26" t="n">
        <x:f>D21*(1+Inputs!$D$9)</x:f>
        <x:v>161.4405071096745</x:v>
      </x:c>
      <x:c r="E22" s="26" t="n">
        <x:f>IF(C22&lt;Inputs!$D$34,$D$6*(1+Inputs!$D$10)^(C22-Inputs!$D$15),0)</x:f>
        <x:v>0</x:v>
      </x:c>
      <x:c r="F22" s="26" t="n">
        <x:f>IF(C22&gt;=Inputs!$D$13,$D$6*(1+Inputs!$D$9)^(Inputs!$D$13-Inputs!$D$15)*(1+Inputs!$D$12)*(1+Inputs!$D$11)^(C22-Inputs!$D$13),0)</x:f>
        <x:v>151.47308655127048</x:v>
      </x:c>
      <x:c r="G22" s="26" t="n">
        <x:f>IF(C22&gt;=Inputs!$D$13,Inputs!$D$14,0)</x:f>
        <x:v>0</x:v>
      </x:c>
      <x:c r="H22" s="27" t="n">
        <x:f>E22+F22-G22</x:f>
        <x:v>151.47308655127048</x:v>
      </x:c>
      <x:c r="I22" s="27" t="n">
        <x:f>D22-H22</x:f>
        <x:v>9.96742055840403</x:v>
      </x:c>
      <x:c r="J22" s="26" t="n">
        <x:f>D22*Inputs!$D$28/12</x:f>
        <x:v>40.36012677741863</x:v>
      </x:c>
      <x:c r="K22" s="2"/>
      <x:c r="L22" s="2"/>
    </x:row>
    <x:row r="23" ht="23" customHeight="1">
      <x:c r="A23" s="2"/>
      <x:c r="B23" s="2"/>
      <x:c r="C23" s="25" t="n">
        <x:f>C22+1</x:f>
        <x:v>2043</x:v>
      </x:c>
      <x:c r="D23" s="26" t="n">
        <x:f>D22*(1+Inputs!$D$9)</x:f>
        <x:v>168.70532992960986</x:v>
      </x:c>
      <x:c r="E23" s="26" t="n">
        <x:f>IF(C23&lt;Inputs!$D$34,$D$6*(1+Inputs!$D$10)^(C23-Inputs!$D$15),0)</x:f>
        <x:v>0</x:v>
      </x:c>
      <x:c r="F23" s="26" t="n">
        <x:f>IF(C23&gt;=Inputs!$D$13,$D$6*(1+Inputs!$D$9)^(Inputs!$D$13-Inputs!$D$15)*(1+Inputs!$D$12)*(1+Inputs!$D$11)^(C23-Inputs!$D$13),0)</x:f>
        <x:v>156.0172791478086</x:v>
      </x:c>
      <x:c r="G23" s="26" t="n">
        <x:f>IF(C23&gt;=Inputs!$D$13,Inputs!$D$14,0)</x:f>
        <x:v>0</x:v>
      </x:c>
      <x:c r="H23" s="27" t="n">
        <x:f>E23+F23-G23</x:f>
        <x:v>156.0172791478086</x:v>
      </x:c>
      <x:c r="I23" s="27" t="n">
        <x:f>D23-H23</x:f>
        <x:v>12.688050781801252</x:v>
      </x:c>
      <x:c r="J23" s="26" t="n">
        <x:f>D23*Inputs!$D$28/12</x:f>
        <x:v>42.176332482402465</x:v>
      </x:c>
      <x:c r="K23" s="2"/>
      <x:c r="L23" s="2"/>
    </x:row>
    <x:row r="24" ht="23" customHeight="1">
      <x:c r="A24" s="2"/>
      <x:c r="B24" s="2"/>
      <x:c r="C24" s="25" t="n">
        <x:f>C23+1</x:f>
        <x:v>2044</x:v>
      </x:c>
      <x:c r="D24" s="26" t="n">
        <x:f>D23*(1+Inputs!$D$9)</x:f>
        <x:v>176.2970697764423</x:v>
      </x:c>
      <x:c r="E24" s="26" t="n">
        <x:f>IF(C24&lt;Inputs!$D$34,$D$6*(1+Inputs!$D$10)^(C24-Inputs!$D$15),0)</x:f>
        <x:v>0</x:v>
      </x:c>
      <x:c r="F24" s="26" t="n">
        <x:f>IF(C24&gt;=Inputs!$D$13,$D$6*(1+Inputs!$D$9)^(Inputs!$D$13-Inputs!$D$15)*(1+Inputs!$D$12)*(1+Inputs!$D$11)^(C24-Inputs!$D$13),0)</x:f>
        <x:v>160.69779752224287</x:v>
      </x:c>
      <x:c r="G24" s="26" t="n">
        <x:f>IF(C24&gt;=Inputs!$D$13,Inputs!$D$14,0)</x:f>
        <x:v>0</x:v>
      </x:c>
      <x:c r="H24" s="27" t="n">
        <x:f>E24+F24-G24</x:f>
        <x:v>160.69779752224287</x:v>
      </x:c>
      <x:c r="I24" s="27" t="n">
        <x:f>D24-H24</x:f>
        <x:v>15.599272254199434</x:v>
      </x:c>
      <x:c r="J24" s="26" t="n">
        <x:f>D24*Inputs!$D$28/12</x:f>
        <x:v>44.074267444110575</x:v>
      </x:c>
      <x:c r="K24" s="2"/>
      <x:c r="L24" s="2"/>
    </x:row>
    <x:row r="25" ht="23" customHeight="1">
      <x:c r="A25" s="2"/>
      <x:c r="B25" s="2"/>
      <x:c r="C25" s="25" t="n">
        <x:f>C24+1</x:f>
        <x:v>2045</x:v>
      </x:c>
      <x:c r="D25" s="26" t="n">
        <x:f>D24*(1+Inputs!$D$9)</x:f>
        <x:v>184.2304379163822</x:v>
      </x:c>
      <x:c r="E25" s="26" t="n">
        <x:f>IF(C25&lt;Inputs!$D$34,$D$6*(1+Inputs!$D$10)^(C25-Inputs!$D$15),0)</x:f>
        <x:v>0</x:v>
      </x:c>
      <x:c r="F25" s="26" t="n">
        <x:f>IF(C25&gt;=Inputs!$D$13,$D$6*(1+Inputs!$D$9)^(Inputs!$D$13-Inputs!$D$15)*(1+Inputs!$D$12)*(1+Inputs!$D$11)^(C25-Inputs!$D$13),0)</x:f>
        <x:v>165.51873144791017</x:v>
      </x:c>
      <x:c r="G25" s="26" t="n">
        <x:f>IF(C25&gt;=Inputs!$D$13,Inputs!$D$14,0)</x:f>
        <x:v>0</x:v>
      </x:c>
      <x:c r="H25" s="27" t="n">
        <x:f>E25+F25-G25</x:f>
        <x:v>165.51873144791017</x:v>
      </x:c>
      <x:c r="I25" s="27" t="n">
        <x:f>D25-H25</x:f>
        <x:v>18.711706468472016</x:v>
      </x:c>
      <x:c r="J25" s="26" t="n">
        <x:f>D25*Inputs!$D$28/12</x:f>
        <x:v>46.05760947909554</x:v>
      </x:c>
      <x:c r="K25" s="2"/>
      <x:c r="L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3" customHeight="1">
      <x:c r="A28" s="2"/>
      <x:c r="B28" s="2"/>
      <x:c r="C28" s="2" t="str">
        <x:v>Shortfall &gt; 0 means additional revenue or service change needed; negative is annual headroom.</x:v>
      </x:c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3" customHeight="1">
      <x:c r="A29" s="2"/>
      <x:c r="B29" s="2"/>
      <x:c r="C29" s="2" t="str">
        <x:v>Reserve target is a stock to build, not an annual expense and not an actual balance.</x:v>
      </x:c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3" customHeight="1">
      <x:c r="A30" s="2"/>
      <x:c r="B30" s="2"/>
      <x:c r="C30" s="2" t="str">
        <x:v>Current levy reaches zero after FY2030–31. No automatic renewal. Replacement is hypothetical.</x:v>
      </x:c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</x:sheetData>
  <x:conditionalFormatting sqref="I6:I25">
    <x:cfRule type="cellIs" dxfId="0" priority="1" operator="greaterThan">
      <x:formula>0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16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3" customHeight="1">
      <x:c r="A2" s="2"/>
      <x:c r="B2" s="2"/>
      <x:c r="C2" s="3" t="str">
        <x:v>Renewal</x:v>
      </x:c>
      <x:c r="D2" s="2"/>
      <x:c r="E2" s="2"/>
      <x:c r="F2" s="2"/>
      <x:c r="G2" s="2"/>
      <x:c r="H2" s="2"/>
      <x:c r="I2" s="2"/>
      <x:c r="J2" s="2"/>
      <x:c r="K2" s="2"/>
      <x:c r="L2" s="2"/>
    </x:row>
    <x:row r="3" ht="23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3" customHeight="1">
      <x:c r="A4" s="2"/>
      <x:c r="B4" s="2"/>
      <x:c r="C4" s="2" t="str">
        <x:v>Funding capacity, not executed projects. Nominal $M except Real funds (2026 dollars).</x:v>
      </x:c>
      <x:c r="D4" s="2"/>
      <x:c r="E4" s="2"/>
      <x:c r="F4" s="2"/>
      <x:c r="G4" s="2"/>
      <x:c r="H4" s="2"/>
      <x:c r="I4" s="2"/>
      <x:c r="J4" s="2"/>
      <x:c r="K4" s="2"/>
      <x:c r="L4" s="2"/>
    </x:row>
    <x:row r="5" ht="32" customHeight="1">
      <x:c r="A5" s="2"/>
      <x:c r="B5" s="2"/>
      <x:c r="C5" s="9" t="str">
        <x:v>Fiscal start</x:v>
      </x:c>
      <x:c r="D5" s="9" t="str">
        <x:v>Target</x:v>
      </x:c>
      <x:c r="E5" s="9" t="str">
        <x:v>City base</x:v>
      </x:c>
      <x:c r="F5" s="9" t="str">
        <x:v>Levy capital</x:v>
      </x:c>
      <x:c r="G5" s="9" t="str">
        <x:v>New pay-go</x:v>
      </x:c>
      <x:c r="H5" s="9" t="str">
        <x:v>Total funds</x:v>
      </x:c>
      <x:c r="I5" s="9" t="str">
        <x:v>Shortfall</x:v>
      </x:c>
      <x:c r="J5" s="9" t="str">
        <x:v>Real funds</x:v>
      </x:c>
      <x:c r="K5" s="2"/>
      <x:c r="L5" s="2"/>
    </x:row>
    <x:row r="6" ht="23" customHeight="1">
      <x:c r="A6" s="2"/>
      <x:c r="B6" s="2"/>
      <x:c r="C6" s="24" t="n">
        <x:f>Inputs!D15</x:f>
        <x:v>2026</x:v>
      </x:c>
      <x:c r="D6" s="26" t="n">
        <x:f>Inputs!$D$16*(1+Inputs!$D$18)^(C6-Inputs!$D$15)</x:f>
        <x:v>60</x:v>
      </x:c>
      <x:c r="E6" s="26" t="n">
        <x:f>Inputs!$D$17*(1+Inputs!$D$18)^(C6-Inputs!$D$15)</x:f>
        <x:v>5</x:v>
      </x:c>
      <x:c r="F6" s="26" t="n">
        <x:f>IF(C6&lt;Inputs!$D$34,Inputs!$D$6*(Inputs!$D$8-Inputs!$D$7)/Inputs!$D$8*(1+Inputs!$D$10)^(C6-Inputs!$D$15),0)</x:f>
        <x:v>1.7480447785714173</x:v>
      </x:c>
      <x:c r="G6" s="26" t="n">
        <x:f>IF(C6&gt;=Inputs!$D$20,Inputs!$D$19*(1+Inputs!$D$18)^(C6-Inputs!$D$15),0)</x:f>
        <x:v>0</x:v>
      </x:c>
      <x:c r="H6" s="27" t="n">
        <x:f>SUM(E6:G6)</x:f>
        <x:v>6.748044778571417</x:v>
      </x:c>
      <x:c r="I6" s="27" t="n">
        <x:f>D6-H6</x:f>
        <x:v>53.25195522142858</x:v>
      </x:c>
      <x:c r="J6" s="26" t="n">
        <x:f>H6/(1+Inputs!$D$18)^(C6-Inputs!$D$15)</x:f>
        <x:v>6.748044778571417</x:v>
      </x:c>
      <x:c r="K6" s="2"/>
      <x:c r="L6" s="2"/>
    </x:row>
    <x:row r="7" ht="23" customHeight="1">
      <x:c r="A7" s="2"/>
      <x:c r="B7" s="2"/>
      <x:c r="C7" s="25" t="n">
        <x:f>C6+1</x:f>
        <x:v>2027</x:v>
      </x:c>
      <x:c r="D7" s="26" t="n">
        <x:f>Inputs!$D$16*(1+Inputs!$D$18)^(C7-Inputs!$D$15)</x:f>
        <x:v>61.800000000000004</x:v>
      </x:c>
      <x:c r="E7" s="26" t="n">
        <x:f>Inputs!$D$17*(1+Inputs!$D$18)^(C7-Inputs!$D$15)</x:f>
        <x:v>5.15</x:v>
      </x:c>
      <x:c r="F7" s="26" t="n">
        <x:f>IF(C7&lt;Inputs!$D$34,Inputs!$D$6*(Inputs!$D$8-Inputs!$D$7)/Inputs!$D$8*(1+Inputs!$D$10)^(C7-Inputs!$D$15),0)</x:f>
        <x:v>1.8004861219285597</x:v>
      </x:c>
      <x:c r="G7" s="26" t="n">
        <x:f>IF(C7&gt;=Inputs!$D$20,Inputs!$D$19*(1+Inputs!$D$18)^(C7-Inputs!$D$15),0)</x:f>
        <x:v>0</x:v>
      </x:c>
      <x:c r="H7" s="27" t="n">
        <x:f>SUM(E7:G7)</x:f>
        <x:v>6.95048612192856</x:v>
      </x:c>
      <x:c r="I7" s="27" t="n">
        <x:f>D7-H7</x:f>
        <x:v>54.84951387807144</x:v>
      </x:c>
      <x:c r="J7" s="26" t="n">
        <x:f>H7/(1+Inputs!$D$18)^(C7-Inputs!$D$15)</x:f>
        <x:v>6.748044778571417</x:v>
      </x:c>
      <x:c r="K7" s="2"/>
      <x:c r="L7" s="2"/>
    </x:row>
    <x:row r="8" ht="23" customHeight="1">
      <x:c r="A8" s="2"/>
      <x:c r="B8" s="2"/>
      <x:c r="C8" s="25" t="n">
        <x:f>C7+1</x:f>
        <x:v>2028</x:v>
      </x:c>
      <x:c r="D8" s="26" t="n">
        <x:f>Inputs!$D$16*(1+Inputs!$D$18)^(C8-Inputs!$D$15)</x:f>
        <x:v>63.653999999999996</x:v>
      </x:c>
      <x:c r="E8" s="26" t="n">
        <x:f>Inputs!$D$17*(1+Inputs!$D$18)^(C8-Inputs!$D$15)</x:f>
        <x:v>5.3045</x:v>
      </x:c>
      <x:c r="F8" s="26" t="n">
        <x:f>IF(C8&lt;Inputs!$D$34,Inputs!$D$6*(Inputs!$D$8-Inputs!$D$7)/Inputs!$D$8*(1+Inputs!$D$10)^(C8-Inputs!$D$15),0)</x:f>
        <x:v>1.8545007055864164</x:v>
      </x:c>
      <x:c r="G8" s="26" t="n">
        <x:f>IF(C8&gt;=Inputs!$D$20,Inputs!$D$19*(1+Inputs!$D$18)^(C8-Inputs!$D$15),0)</x:f>
        <x:v>58.3495</x:v>
      </x:c>
      <x:c r="H8" s="27" t="n">
        <x:f>SUM(E8:G8)</x:f>
        <x:v>65.50850070558641</x:v>
      </x:c>
      <x:c r="I8" s="27" t="n">
        <x:f>D8-H8</x:f>
        <x:v>-1.8545007055864176</x:v>
      </x:c>
      <x:c r="J8" s="26" t="n">
        <x:f>H8/(1+Inputs!$D$18)^(C8-Inputs!$D$15)</x:f>
        <x:v>61.74804477857142</x:v>
      </x:c>
      <x:c r="K8" s="2"/>
      <x:c r="L8" s="2"/>
    </x:row>
    <x:row r="9" ht="23" customHeight="1">
      <x:c r="A9" s="2"/>
      <x:c r="B9" s="2"/>
      <x:c r="C9" s="25" t="n">
        <x:f>C8+1</x:f>
        <x:v>2029</x:v>
      </x:c>
      <x:c r="D9" s="26" t="n">
        <x:f>Inputs!$D$16*(1+Inputs!$D$18)^(C9-Inputs!$D$15)</x:f>
        <x:v>65.56362</x:v>
      </x:c>
      <x:c r="E9" s="26" t="n">
        <x:f>Inputs!$D$17*(1+Inputs!$D$18)^(C9-Inputs!$D$15)</x:f>
        <x:v>5.463635</x:v>
      </x:c>
      <x:c r="F9" s="26" t="n">
        <x:f>IF(C9&lt;Inputs!$D$34,Inputs!$D$6*(Inputs!$D$8-Inputs!$D$7)/Inputs!$D$8*(1+Inputs!$D$10)^(C9-Inputs!$D$15),0)</x:f>
        <x:v>1.9101357267540091</x:v>
      </x:c>
      <x:c r="G9" s="26" t="n">
        <x:f>IF(C9&gt;=Inputs!$D$20,Inputs!$D$19*(1+Inputs!$D$18)^(C9-Inputs!$D$15),0)</x:f>
        <x:v>60.099985000000004</x:v>
      </x:c>
      <x:c r="H9" s="27" t="n">
        <x:f>SUM(E9:G9)</x:f>
        <x:v>67.473755726754</x:v>
      </x:c>
      <x:c r="I9" s="27" t="n">
        <x:f>D9-H9</x:f>
        <x:v>-1.9101357267540067</x:v>
      </x:c>
      <x:c r="J9" s="26" t="n">
        <x:f>H9/(1+Inputs!$D$18)^(C9-Inputs!$D$15)</x:f>
        <x:v>61.74804477857141</x:v>
      </x:c>
      <x:c r="K9" s="2"/>
      <x:c r="L9" s="2"/>
    </x:row>
    <x:row r="10" ht="23" customHeight="1">
      <x:c r="A10" s="2"/>
      <x:c r="B10" s="2"/>
      <x:c r="C10" s="25" t="n">
        <x:f>C9+1</x:f>
        <x:v>2030</x:v>
      </x:c>
      <x:c r="D10" s="26" t="n">
        <x:f>Inputs!$D$16*(1+Inputs!$D$18)^(C10-Inputs!$D$15)</x:f>
        <x:v>67.53052860000001</x:v>
      </x:c>
      <x:c r="E10" s="26" t="n">
        <x:f>Inputs!$D$17*(1+Inputs!$D$18)^(C10-Inputs!$D$15)</x:f>
        <x:v>5.627544050000001</x:v>
      </x:c>
      <x:c r="F10" s="26" t="n">
        <x:f>IF(C10&lt;Inputs!$D$34,Inputs!$D$6*(Inputs!$D$8-Inputs!$D$7)/Inputs!$D$8*(1+Inputs!$D$10)^(C10-Inputs!$D$15),0)</x:f>
        <x:v>1.9674397985566296</x:v>
      </x:c>
      <x:c r="G10" s="26" t="n">
        <x:f>IF(C10&gt;=Inputs!$D$20,Inputs!$D$19*(1+Inputs!$D$18)^(C10-Inputs!$D$15),0)</x:f>
        <x:v>61.902984550000006</x:v>
      </x:c>
      <x:c r="H10" s="27" t="n">
        <x:f>SUM(E10:G10)</x:f>
        <x:v>69.49796839855664</x:v>
      </x:c>
      <x:c r="I10" s="27" t="n">
        <x:f>D10-H10</x:f>
        <x:v>-1.9674397985566259</x:v>
      </x:c>
      <x:c r="J10" s="26" t="n">
        <x:f>H10/(1+Inputs!$D$18)^(C10-Inputs!$D$15)</x:f>
        <x:v>61.74804477857142</x:v>
      </x:c>
      <x:c r="K10" s="2"/>
      <x:c r="L10" s="2"/>
    </x:row>
    <x:row r="11" ht="23" customHeight="1">
      <x:c r="A11" s="2"/>
      <x:c r="B11" s="2"/>
      <x:c r="C11" s="25" t="n">
        <x:f>C10+1</x:f>
        <x:v>2031</x:v>
      </x:c>
      <x:c r="D11" s="26" t="n">
        <x:f>Inputs!$D$16*(1+Inputs!$D$18)^(C11-Inputs!$D$15)</x:f>
        <x:v>69.556444458</x:v>
      </x:c>
      <x:c r="E11" s="26" t="n">
        <x:f>Inputs!$D$17*(1+Inputs!$D$18)^(C11-Inputs!$D$15)</x:f>
        <x:v>5.7963703715</x:v>
      </x:c>
      <x:c r="F11" s="26" t="n">
        <x:f>IF(C11&lt;Inputs!$D$34,Inputs!$D$6*(Inputs!$D$8-Inputs!$D$7)/Inputs!$D$8*(1+Inputs!$D$10)^(C11-Inputs!$D$15),0)</x:f>
        <x:v>0</x:v>
      </x:c>
      <x:c r="G11" s="26" t="n">
        <x:f>IF(C11&gt;=Inputs!$D$20,Inputs!$D$19*(1+Inputs!$D$18)^(C11-Inputs!$D$15),0)</x:f>
        <x:v>63.760074086500005</x:v>
      </x:c>
      <x:c r="H11" s="27" t="n">
        <x:f>SUM(E11:G11)</x:f>
        <x:v>69.556444458</x:v>
      </x:c>
      <x:c r="I11" s="27" t="n">
        <x:f>D11-H11</x:f>
        <x:v>0</x:v>
      </x:c>
      <x:c r="J11" s="26" t="n">
        <x:f>H11/(1+Inputs!$D$18)^(C11-Inputs!$D$15)</x:f>
        <x:v>60</x:v>
      </x:c>
      <x:c r="K11" s="2"/>
      <x:c r="L11" s="2"/>
    </x:row>
    <x:row r="12" ht="23" customHeight="1">
      <x:c r="A12" s="2"/>
      <x:c r="B12" s="2"/>
      <x:c r="C12" s="25" t="n">
        <x:f>C11+1</x:f>
        <x:v>2032</x:v>
      </x:c>
      <x:c r="D12" s="26" t="n">
        <x:f>Inputs!$D$16*(1+Inputs!$D$18)^(C12-Inputs!$D$15)</x:f>
        <x:v>71.64313779174</x:v>
      </x:c>
      <x:c r="E12" s="26" t="n">
        <x:f>Inputs!$D$17*(1+Inputs!$D$18)^(C12-Inputs!$D$15)</x:f>
        <x:v>5.970261482645</x:v>
      </x:c>
      <x:c r="F12" s="26" t="n">
        <x:f>IF(C12&lt;Inputs!$D$34,Inputs!$D$6*(Inputs!$D$8-Inputs!$D$7)/Inputs!$D$8*(1+Inputs!$D$10)^(C12-Inputs!$D$15),0)</x:f>
        <x:v>0</x:v>
      </x:c>
      <x:c r="G12" s="26" t="n">
        <x:f>IF(C12&gt;=Inputs!$D$20,Inputs!$D$19*(1+Inputs!$D$18)^(C12-Inputs!$D$15),0)</x:f>
        <x:v>65.672876309095</x:v>
      </x:c>
      <x:c r="H12" s="27" t="n">
        <x:f>SUM(E12:G12)</x:f>
        <x:v>71.64313779174</x:v>
      </x:c>
      <x:c r="I12" s="27" t="n">
        <x:f>D12-H12</x:f>
        <x:v>0</x:v>
      </x:c>
      <x:c r="J12" s="26" t="n">
        <x:f>H12/(1+Inputs!$D$18)^(C12-Inputs!$D$15)</x:f>
        <x:v>59.99999999999999</x:v>
      </x:c>
      <x:c r="K12" s="2"/>
      <x:c r="L12" s="2"/>
    </x:row>
    <x:row r="13" ht="23" customHeight="1">
      <x:c r="A13" s="2"/>
      <x:c r="B13" s="2"/>
      <x:c r="C13" s="25" t="n">
        <x:f>C12+1</x:f>
        <x:v>2033</x:v>
      </x:c>
      <x:c r="D13" s="26" t="n">
        <x:f>Inputs!$D$16*(1+Inputs!$D$18)^(C13-Inputs!$D$15)</x:f>
        <x:v>73.79243192549221</x:v>
      </x:c>
      <x:c r="E13" s="26" t="n">
        <x:f>Inputs!$D$17*(1+Inputs!$D$18)^(C13-Inputs!$D$15)</x:f>
        <x:v>6.149369327124351</x:v>
      </x:c>
      <x:c r="F13" s="26" t="n">
        <x:f>IF(C13&lt;Inputs!$D$34,Inputs!$D$6*(Inputs!$D$8-Inputs!$D$7)/Inputs!$D$8*(1+Inputs!$D$10)^(C13-Inputs!$D$15),0)</x:f>
        <x:v>0</x:v>
      </x:c>
      <x:c r="G13" s="26" t="n">
        <x:f>IF(C13&gt;=Inputs!$D$20,Inputs!$D$19*(1+Inputs!$D$18)^(C13-Inputs!$D$15),0)</x:f>
        <x:v>67.64306259836786</x:v>
      </x:c>
      <x:c r="H13" s="27" t="n">
        <x:f>SUM(E13:G13)</x:f>
        <x:v>73.79243192549221</x:v>
      </x:c>
      <x:c r="I13" s="27" t="n">
        <x:f>D13-H13</x:f>
        <x:v>0</x:v>
      </x:c>
      <x:c r="J13" s="26" t="n">
        <x:f>H13/(1+Inputs!$D$18)^(C13-Inputs!$D$15)</x:f>
        <x:v>60</x:v>
      </x:c>
      <x:c r="K13" s="2"/>
      <x:c r="L13" s="2"/>
    </x:row>
    <x:row r="14" ht="23" customHeight="1">
      <x:c r="A14" s="2"/>
      <x:c r="B14" s="2"/>
      <x:c r="C14" s="25" t="n">
        <x:f>C13+1</x:f>
        <x:v>2034</x:v>
      </x:c>
      <x:c r="D14" s="26" t="n">
        <x:f>Inputs!$D$16*(1+Inputs!$D$18)^(C14-Inputs!$D$15)</x:f>
        <x:v>76.00620488325698</x:v>
      </x:c>
      <x:c r="E14" s="26" t="n">
        <x:f>Inputs!$D$17*(1+Inputs!$D$18)^(C14-Inputs!$D$15)</x:f>
        <x:v>6.333850406938081</x:v>
      </x:c>
      <x:c r="F14" s="26" t="n">
        <x:f>IF(C14&lt;Inputs!$D$34,Inputs!$D$6*(Inputs!$D$8-Inputs!$D$7)/Inputs!$D$8*(1+Inputs!$D$10)^(C14-Inputs!$D$15),0)</x:f>
        <x:v>0</x:v>
      </x:c>
      <x:c r="G14" s="26" t="n">
        <x:f>IF(C14&gt;=Inputs!$D$20,Inputs!$D$19*(1+Inputs!$D$18)^(C14-Inputs!$D$15),0)</x:f>
        <x:v>69.6723544763189</x:v>
      </x:c>
      <x:c r="H14" s="27" t="n">
        <x:f>SUM(E14:G14)</x:f>
        <x:v>76.00620488325698</x:v>
      </x:c>
      <x:c r="I14" s="27" t="n">
        <x:f>D14-H14</x:f>
        <x:v>0</x:v>
      </x:c>
      <x:c r="J14" s="26" t="n">
        <x:f>H14/(1+Inputs!$D$18)^(C14-Inputs!$D$15)</x:f>
        <x:v>60</x:v>
      </x:c>
      <x:c r="K14" s="2"/>
      <x:c r="L14" s="2"/>
    </x:row>
    <x:row r="15" ht="23" customHeight="1">
      <x:c r="A15" s="2"/>
      <x:c r="B15" s="2"/>
      <x:c r="C15" s="25" t="n">
        <x:f>C14+1</x:f>
        <x:v>2035</x:v>
      </x:c>
      <x:c r="D15" s="26" t="n">
        <x:f>Inputs!$D$16*(1+Inputs!$D$18)^(C15-Inputs!$D$15)</x:f>
        <x:v>78.2863910297547</x:v>
      </x:c>
      <x:c r="E15" s="26" t="n">
        <x:f>Inputs!$D$17*(1+Inputs!$D$18)^(C15-Inputs!$D$15)</x:f>
        <x:v>6.523865919146225</x:v>
      </x:c>
      <x:c r="F15" s="26" t="n">
        <x:f>IF(C15&lt;Inputs!$D$34,Inputs!$D$6*(Inputs!$D$8-Inputs!$D$7)/Inputs!$D$8*(1+Inputs!$D$10)^(C15-Inputs!$D$15),0)</x:f>
        <x:v>0</x:v>
      </x:c>
      <x:c r="G15" s="26" t="n">
        <x:f>IF(C15&gt;=Inputs!$D$20,Inputs!$D$19*(1+Inputs!$D$18)^(C15-Inputs!$D$15),0)</x:f>
        <x:v>71.76252511060846</x:v>
      </x:c>
      <x:c r="H15" s="27" t="n">
        <x:f>SUM(E15:G15)</x:f>
        <x:v>78.2863910297547</x:v>
      </x:c>
      <x:c r="I15" s="27" t="n">
        <x:f>D15-H15</x:f>
        <x:v>0</x:v>
      </x:c>
      <x:c r="J15" s="26" t="n">
        <x:f>H15/(1+Inputs!$D$18)^(C15-Inputs!$D$15)</x:f>
        <x:v>60</x:v>
      </x:c>
      <x:c r="K15" s="2"/>
      <x:c r="L15" s="2"/>
    </x:row>
    <x:row r="16" ht="23" customHeight="1">
      <x:c r="A16" s="2"/>
      <x:c r="B16" s="2"/>
      <x:c r="C16" s="25" t="n">
        <x:f>C15+1</x:f>
        <x:v>2036</x:v>
      </x:c>
      <x:c r="D16" s="26" t="n">
        <x:f>Inputs!$D$16*(1+Inputs!$D$18)^(C16-Inputs!$D$15)</x:f>
        <x:v>80.63498276064733</x:v>
      </x:c>
      <x:c r="E16" s="26" t="n">
        <x:f>Inputs!$D$17*(1+Inputs!$D$18)^(C16-Inputs!$D$15)</x:f>
        <x:v>6.719581896720611</x:v>
      </x:c>
      <x:c r="F16" s="26" t="n">
        <x:f>IF(C16&lt;Inputs!$D$34,Inputs!$D$6*(Inputs!$D$8-Inputs!$D$7)/Inputs!$D$8*(1+Inputs!$D$10)^(C16-Inputs!$D$15),0)</x:f>
        <x:v>0</x:v>
      </x:c>
      <x:c r="G16" s="26" t="n">
        <x:f>IF(C16&gt;=Inputs!$D$20,Inputs!$D$19*(1+Inputs!$D$18)^(C16-Inputs!$D$15),0)</x:f>
        <x:v>73.91540086392672</x:v>
      </x:c>
      <x:c r="H16" s="27" t="n">
        <x:f>SUM(E16:G16)</x:f>
        <x:v>80.63498276064733</x:v>
      </x:c>
      <x:c r="I16" s="27" t="n">
        <x:f>D16-H16</x:f>
        <x:v>0</x:v>
      </x:c>
      <x:c r="J16" s="26" t="n">
        <x:f>H16/(1+Inputs!$D$18)^(C16-Inputs!$D$15)</x:f>
        <x:v>60</x:v>
      </x:c>
      <x:c r="K16" s="2"/>
      <x:c r="L16" s="2"/>
    </x:row>
    <x:row r="17" ht="23" customHeight="1">
      <x:c r="A17" s="2"/>
      <x:c r="B17" s="2"/>
      <x:c r="C17" s="25" t="n">
        <x:f>C16+1</x:f>
        <x:v>2037</x:v>
      </x:c>
      <x:c r="D17" s="26" t="n">
        <x:f>Inputs!$D$16*(1+Inputs!$D$18)^(C17-Inputs!$D$15)</x:f>
        <x:v>83.05403224346675</x:v>
      </x:c>
      <x:c r="E17" s="26" t="n">
        <x:f>Inputs!$D$17*(1+Inputs!$D$18)^(C17-Inputs!$D$15)</x:f>
        <x:v>6.921169353622229</x:v>
      </x:c>
      <x:c r="F17" s="26" t="n">
        <x:f>IF(C17&lt;Inputs!$D$34,Inputs!$D$6*(Inputs!$D$8-Inputs!$D$7)/Inputs!$D$8*(1+Inputs!$D$10)^(C17-Inputs!$D$15),0)</x:f>
        <x:v>0</x:v>
      </x:c>
      <x:c r="G17" s="26" t="n">
        <x:f>IF(C17&gt;=Inputs!$D$20,Inputs!$D$19*(1+Inputs!$D$18)^(C17-Inputs!$D$15),0)</x:f>
        <x:v>76.13286288984453</x:v>
      </x:c>
      <x:c r="H17" s="27" t="n">
        <x:f>SUM(E17:G17)</x:f>
        <x:v>83.05403224346676</x:v>
      </x:c>
      <x:c r="I17" s="27" t="n">
        <x:f>D17-H17</x:f>
        <x:v>-1.4210854715202004e-14</x:v>
      </x:c>
      <x:c r="J17" s="26" t="n">
        <x:f>H17/(1+Inputs!$D$18)^(C17-Inputs!$D$15)</x:f>
        <x:v>60.00000000000001</x:v>
      </x:c>
      <x:c r="K17" s="2"/>
      <x:c r="L17" s="2"/>
    </x:row>
    <x:row r="18" ht="23" customHeight="1">
      <x:c r="A18" s="2"/>
      <x:c r="B18" s="2"/>
      <x:c r="C18" s="25" t="n">
        <x:f>C17+1</x:f>
        <x:v>2038</x:v>
      </x:c>
      <x:c r="D18" s="26" t="n">
        <x:f>Inputs!$D$16*(1+Inputs!$D$18)^(C18-Inputs!$D$15)</x:f>
        <x:v>85.54565321077075</x:v>
      </x:c>
      <x:c r="E18" s="26" t="n">
        <x:f>Inputs!$D$17*(1+Inputs!$D$18)^(C18-Inputs!$D$15)</x:f>
        <x:v>7.128804434230896</x:v>
      </x:c>
      <x:c r="F18" s="26" t="n">
        <x:f>IF(C18&lt;Inputs!$D$34,Inputs!$D$6*(Inputs!$D$8-Inputs!$D$7)/Inputs!$D$8*(1+Inputs!$D$10)^(C18-Inputs!$D$15),0)</x:f>
        <x:v>0</x:v>
      </x:c>
      <x:c r="G18" s="26" t="n">
        <x:f>IF(C18&gt;=Inputs!$D$20,Inputs!$D$19*(1+Inputs!$D$18)^(C18-Inputs!$D$15),0)</x:f>
        <x:v>78.41684877653987</x:v>
      </x:c>
      <x:c r="H18" s="27" t="n">
        <x:f>SUM(E18:G18)</x:f>
        <x:v>85.54565321077077</x:v>
      </x:c>
      <x:c r="I18" s="27" t="n">
        <x:f>D18-H18</x:f>
        <x:v>-1.4210854715202004e-14</x:v>
      </x:c>
      <x:c r="J18" s="26" t="n">
        <x:f>H18/(1+Inputs!$D$18)^(C18-Inputs!$D$15)</x:f>
        <x:v>60.00000000000001</x:v>
      </x:c>
      <x:c r="K18" s="2"/>
      <x:c r="L18" s="2"/>
    </x:row>
    <x:row r="19" ht="23" customHeight="1">
      <x:c r="A19" s="2"/>
      <x:c r="B19" s="2"/>
      <x:c r="C19" s="25" t="n">
        <x:f>C18+1</x:f>
        <x:v>2039</x:v>
      </x:c>
      <x:c r="D19" s="26" t="n">
        <x:f>Inputs!$D$16*(1+Inputs!$D$18)^(C19-Inputs!$D$15)</x:f>
        <x:v>88.1120228070939</x:v>
      </x:c>
      <x:c r="E19" s="26" t="n">
        <x:f>Inputs!$D$17*(1+Inputs!$D$18)^(C19-Inputs!$D$15)</x:f>
        <x:v>7.3426685672578245</x:v>
      </x:c>
      <x:c r="F19" s="26" t="n">
        <x:f>IF(C19&lt;Inputs!$D$34,Inputs!$D$6*(Inputs!$D$8-Inputs!$D$7)/Inputs!$D$8*(1+Inputs!$D$10)^(C19-Inputs!$D$15),0)</x:f>
        <x:v>0</x:v>
      </x:c>
      <x:c r="G19" s="26" t="n">
        <x:f>IF(C19&gt;=Inputs!$D$20,Inputs!$D$19*(1+Inputs!$D$18)^(C19-Inputs!$D$15),0)</x:f>
        <x:v>80.76935423983606</x:v>
      </x:c>
      <x:c r="H19" s="27" t="n">
        <x:f>SUM(E19:G19)</x:f>
        <x:v>88.1120228070939</x:v>
      </x:c>
      <x:c r="I19" s="27" t="n">
        <x:f>D19-H19</x:f>
        <x:v>0</x:v>
      </x:c>
      <x:c r="J19" s="26" t="n">
        <x:f>H19/(1+Inputs!$D$18)^(C19-Inputs!$D$15)</x:f>
        <x:v>60.00000000000001</x:v>
      </x:c>
      <x:c r="K19" s="2"/>
      <x:c r="L19" s="2"/>
    </x:row>
    <x:row r="20" ht="23" customHeight="1">
      <x:c r="A20" s="2"/>
      <x:c r="B20" s="2"/>
      <x:c r="C20" s="25" t="n">
        <x:f>C19+1</x:f>
        <x:v>2040</x:v>
      </x:c>
      <x:c r="D20" s="26" t="n">
        <x:f>Inputs!$D$16*(1+Inputs!$D$18)^(C20-Inputs!$D$15)</x:f>
        <x:v>90.75538349130672</x:v>
      </x:c>
      <x:c r="E20" s="26" t="n">
        <x:f>Inputs!$D$17*(1+Inputs!$D$18)^(C20-Inputs!$D$15)</x:f>
        <x:v>7.56294862427556</x:v>
      </x:c>
      <x:c r="F20" s="26" t="n">
        <x:f>IF(C20&lt;Inputs!$D$34,Inputs!$D$6*(Inputs!$D$8-Inputs!$D$7)/Inputs!$D$8*(1+Inputs!$D$10)^(C20-Inputs!$D$15),0)</x:f>
        <x:v>0</x:v>
      </x:c>
      <x:c r="G20" s="26" t="n">
        <x:f>IF(C20&gt;=Inputs!$D$20,Inputs!$D$19*(1+Inputs!$D$18)^(C20-Inputs!$D$15),0)</x:f>
        <x:v>83.19243486703115</x:v>
      </x:c>
      <x:c r="H20" s="27" t="n">
        <x:f>SUM(E20:G20)</x:f>
        <x:v>90.75538349130672</x:v>
      </x:c>
      <x:c r="I20" s="27" t="n">
        <x:f>D20-H20</x:f>
        <x:v>0</x:v>
      </x:c>
      <x:c r="J20" s="26" t="n">
        <x:f>H20/(1+Inputs!$D$18)^(C20-Inputs!$D$15)</x:f>
        <x:v>60</x:v>
      </x:c>
      <x:c r="K20" s="2"/>
      <x:c r="L20" s="2"/>
    </x:row>
    <x:row r="21" ht="23" customHeight="1">
      <x:c r="A21" s="2"/>
      <x:c r="B21" s="2"/>
      <x:c r="C21" s="25" t="n">
        <x:f>C20+1</x:f>
        <x:v>2041</x:v>
      </x:c>
      <x:c r="D21" s="26" t="n">
        <x:f>Inputs!$D$16*(1+Inputs!$D$18)^(C21-Inputs!$D$15)</x:f>
        <x:v>93.47804499604591</x:v>
      </x:c>
      <x:c r="E21" s="26" t="n">
        <x:f>Inputs!$D$17*(1+Inputs!$D$18)^(C21-Inputs!$D$15)</x:f>
        <x:v>7.7898370830038255</x:v>
      </x:c>
      <x:c r="F21" s="26" t="n">
        <x:f>IF(C21&lt;Inputs!$D$34,Inputs!$D$6*(Inputs!$D$8-Inputs!$D$7)/Inputs!$D$8*(1+Inputs!$D$10)^(C21-Inputs!$D$15),0)</x:f>
        <x:v>0</x:v>
      </x:c>
      <x:c r="G21" s="26" t="n">
        <x:f>IF(C21&gt;=Inputs!$D$20,Inputs!$D$19*(1+Inputs!$D$18)^(C21-Inputs!$D$15),0)</x:f>
        <x:v>85.68820791304208</x:v>
      </x:c>
      <x:c r="H21" s="27" t="n">
        <x:f>SUM(E21:G21)</x:f>
        <x:v>93.47804499604591</x:v>
      </x:c>
      <x:c r="I21" s="27" t="n">
        <x:f>D21-H21</x:f>
        <x:v>0</x:v>
      </x:c>
      <x:c r="J21" s="26" t="n">
        <x:f>H21/(1+Inputs!$D$18)^(C21-Inputs!$D$15)</x:f>
        <x:v>60</x:v>
      </x:c>
      <x:c r="K21" s="2"/>
      <x:c r="L21" s="2"/>
    </x:row>
    <x:row r="22" ht="23" customHeight="1">
      <x:c r="A22" s="2"/>
      <x:c r="B22" s="2"/>
      <x:c r="C22" s="25" t="n">
        <x:f>C21+1</x:f>
        <x:v>2042</x:v>
      </x:c>
      <x:c r="D22" s="26" t="n">
        <x:f>Inputs!$D$16*(1+Inputs!$D$18)^(C22-Inputs!$D$15)</x:f>
        <x:v>96.28238634592729</x:v>
      </x:c>
      <x:c r="E22" s="26" t="n">
        <x:f>Inputs!$D$17*(1+Inputs!$D$18)^(C22-Inputs!$D$15)</x:f>
        <x:v>8.02353219549394</x:v>
      </x:c>
      <x:c r="F22" s="26" t="n">
        <x:f>IF(C22&lt;Inputs!$D$34,Inputs!$D$6*(Inputs!$D$8-Inputs!$D$7)/Inputs!$D$8*(1+Inputs!$D$10)^(C22-Inputs!$D$15),0)</x:f>
        <x:v>0</x:v>
      </x:c>
      <x:c r="G22" s="26" t="n">
        <x:f>IF(C22&gt;=Inputs!$D$20,Inputs!$D$19*(1+Inputs!$D$18)^(C22-Inputs!$D$15),0)</x:f>
        <x:v>88.25885415043335</x:v>
      </x:c>
      <x:c r="H22" s="27" t="n">
        <x:f>SUM(E22:G22)</x:f>
        <x:v>96.28238634592729</x:v>
      </x:c>
      <x:c r="I22" s="27" t="n">
        <x:f>D22-H22</x:f>
        <x:v>0</x:v>
      </x:c>
      <x:c r="J22" s="26" t="n">
        <x:f>H22/(1+Inputs!$D$18)^(C22-Inputs!$D$15)</x:f>
        <x:v>60</x:v>
      </x:c>
      <x:c r="K22" s="2"/>
      <x:c r="L22" s="2"/>
    </x:row>
    <x:row r="23" ht="23" customHeight="1">
      <x:c r="A23" s="2"/>
      <x:c r="B23" s="2"/>
      <x:c r="C23" s="25" t="n">
        <x:f>C22+1</x:f>
        <x:v>2043</x:v>
      </x:c>
      <x:c r="D23" s="26" t="n">
        <x:f>Inputs!$D$16*(1+Inputs!$D$18)^(C23-Inputs!$D$15)</x:f>
        <x:v>99.17085793630511</x:v>
      </x:c>
      <x:c r="E23" s="26" t="n">
        <x:f>Inputs!$D$17*(1+Inputs!$D$18)^(C23-Inputs!$D$15)</x:f>
        <x:v>8.264238161358758</x:v>
      </x:c>
      <x:c r="F23" s="26" t="n">
        <x:f>IF(C23&lt;Inputs!$D$34,Inputs!$D$6*(Inputs!$D$8-Inputs!$D$7)/Inputs!$D$8*(1+Inputs!$D$10)^(C23-Inputs!$D$15),0)</x:f>
        <x:v>0</x:v>
      </x:c>
      <x:c r="G23" s="26" t="n">
        <x:f>IF(C23&gt;=Inputs!$D$20,Inputs!$D$19*(1+Inputs!$D$18)^(C23-Inputs!$D$15),0)</x:f>
        <x:v>90.90661977494635</x:v>
      </x:c>
      <x:c r="H23" s="27" t="n">
        <x:f>SUM(E23:G23)</x:f>
        <x:v>99.17085793630511</x:v>
      </x:c>
      <x:c r="I23" s="27" t="n">
        <x:f>D23-H23</x:f>
        <x:v>0</x:v>
      </x:c>
      <x:c r="J23" s="26" t="n">
        <x:f>H23/(1+Inputs!$D$18)^(C23-Inputs!$D$15)</x:f>
        <x:v>60</x:v>
      </x:c>
      <x:c r="K23" s="2"/>
      <x:c r="L23" s="2"/>
    </x:row>
    <x:row r="24" ht="23" customHeight="1">
      <x:c r="A24" s="2"/>
      <x:c r="B24" s="2"/>
      <x:c r="C24" s="25" t="n">
        <x:f>C23+1</x:f>
        <x:v>2044</x:v>
      </x:c>
      <x:c r="D24" s="26" t="n">
        <x:f>Inputs!$D$16*(1+Inputs!$D$18)^(C24-Inputs!$D$15)</x:f>
        <x:v>102.14598367439427</x:v>
      </x:c>
      <x:c r="E24" s="26" t="n">
        <x:f>Inputs!$D$17*(1+Inputs!$D$18)^(C24-Inputs!$D$15)</x:f>
        <x:v>8.512165306199522</x:v>
      </x:c>
      <x:c r="F24" s="26" t="n">
        <x:f>IF(C24&lt;Inputs!$D$34,Inputs!$D$6*(Inputs!$D$8-Inputs!$D$7)/Inputs!$D$8*(1+Inputs!$D$10)^(C24-Inputs!$D$15),0)</x:f>
        <x:v>0</x:v>
      </x:c>
      <x:c r="G24" s="26" t="n">
        <x:f>IF(C24&gt;=Inputs!$D$20,Inputs!$D$19*(1+Inputs!$D$18)^(C24-Inputs!$D$15),0)</x:f>
        <x:v>93.63381836819475</x:v>
      </x:c>
      <x:c r="H24" s="27" t="n">
        <x:f>SUM(E24:G24)</x:f>
        <x:v>102.14598367439427</x:v>
      </x:c>
      <x:c r="I24" s="27" t="n">
        <x:f>D24-H24</x:f>
        <x:v>0</x:v>
      </x:c>
      <x:c r="J24" s="26" t="n">
        <x:f>H24/(1+Inputs!$D$18)^(C24-Inputs!$D$15)</x:f>
        <x:v>60</x:v>
      </x:c>
      <x:c r="K24" s="2"/>
      <x:c r="L24" s="2"/>
    </x:row>
    <x:row r="25" ht="23" customHeight="1">
      <x:c r="A25" s="2"/>
      <x:c r="B25" s="2"/>
      <x:c r="C25" s="25" t="n">
        <x:f>C24+1</x:f>
        <x:v>2045</x:v>
      </x:c>
      <x:c r="D25" s="26" t="n">
        <x:f>Inputs!$D$16*(1+Inputs!$D$18)^(C25-Inputs!$D$15)</x:f>
        <x:v>105.21036318462609</x:v>
      </x:c>
      <x:c r="E25" s="26" t="n">
        <x:f>Inputs!$D$17*(1+Inputs!$D$18)^(C25-Inputs!$D$15)</x:f>
        <x:v>8.767530265385508</x:v>
      </x:c>
      <x:c r="F25" s="26" t="n">
        <x:f>IF(C25&lt;Inputs!$D$34,Inputs!$D$6*(Inputs!$D$8-Inputs!$D$7)/Inputs!$D$8*(1+Inputs!$D$10)^(C25-Inputs!$D$15),0)</x:f>
        <x:v>0</x:v>
      </x:c>
      <x:c r="G25" s="26" t="n">
        <x:f>IF(C25&gt;=Inputs!$D$20,Inputs!$D$19*(1+Inputs!$D$18)^(C25-Inputs!$D$15),0)</x:f>
        <x:v>96.44283291924059</x:v>
      </x:c>
      <x:c r="H25" s="27" t="n">
        <x:f>SUM(E25:G25)</x:f>
        <x:v>105.21036318462609</x:v>
      </x:c>
      <x:c r="I25" s="27" t="n">
        <x:f>D25-H25</x:f>
        <x:v>0</x:v>
      </x:c>
      <x:c r="J25" s="26" t="n">
        <x:f>H25/(1+Inputs!$D$18)^(C25-Inputs!$D$15)</x:f>
        <x:v>59.99999999999999</x:v>
      </x:c>
      <x:c r="K25" s="2"/>
      <x:c r="L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23" customHeight="1">
      <x:c r="A27" s="2"/>
      <x:c r="B27" s="2"/>
      <x:c r="C27" s="28" t="str">
        <x:v>20-year totals</x:v>
      </x:c>
      <x:c r="D27" s="29" t="n">
        <x:f>SUM(D6:D25)</x:f>
        <x:v>1612.222469338828</x:v>
      </x:c>
      <x:c r="E27" s="29" t="n">
        <x:f>SUM(E6:E25)</x:f>
        <x:v>134.35187244490237</x:v>
      </x:c>
      <x:c r="F27" s="29" t="n">
        <x:f>SUM(F6:F25)</x:f>
        <x:v>9.280607131397034</x:v>
      </x:c>
      <x:c r="G27" s="29" t="n">
        <x:f>SUM(G6:G25)</x:f>
        <x:v>1366.2205968939259</x:v>
      </x:c>
      <x:c r="H27" s="29" t="n">
        <x:f>SUM(H6:H25)</x:f>
        <x:v>1509.853076470225</x:v>
      </x:c>
      <x:c r="I27" s="29" t="n">
        <x:f>SUM(I6:I25)</x:f>
        <x:v>102.36939286860294</x:v>
      </x:c>
      <x:c r="J27" s="29" t="n">
        <x:f>SUM(J6:J25)</x:f>
        <x:v>1098.740223892857</x:v>
      </x:c>
      <x:c r="K27" s="2"/>
      <x:c r="L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3" customHeight="1">
      <x:c r="A30" s="2"/>
      <x:c r="B30" s="2"/>
      <x:c r="C30" s="2" t="str">
        <x:v>The $759M backlog stock is NOT added to this annual renewal benchmark. Their overlap is unresolved.</x:v>
      </x:c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3" customHeight="1">
      <x:c r="A31" s="2"/>
      <x:c r="B31" s="2"/>
      <x:c r="C31" s="2" t="str">
        <x:v>New pay-go revenue is an unmet policy requirement, not an adopted measure or forecast.</x:v>
      </x:c>
      <x:c r="D31" s="2"/>
      <x:c r="E31" s="2"/>
      <x:c r="F31" s="2"/>
      <x:c r="G31" s="2"/>
      <x:c r="H31" s="2"/>
      <x:c r="I31" s="2"/>
      <x:c r="J31" s="2"/>
      <x:c r="K31" s="2"/>
      <x:c r="L31" s="2"/>
    </x:row>
    <x:row r="32" ht="23" customHeight="1">
      <x:c r="A32" s="2"/>
      <x:c r="B32" s="2"/>
      <x:c r="C32" s="2" t="str">
        <x:v>No bond proceeds included here; Financing is a separate alternative to avoid double counting.</x:v>
      </x:c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60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3" customHeight="1">
      <x:c r="A2" s="2"/>
      <x:c r="B2" s="2"/>
      <x:c r="C2" s="3" t="str">
        <x:v>Financing</x:v>
      </x:c>
      <x:c r="D2" s="2"/>
      <x:c r="E2" s="2"/>
      <x:c r="F2" s="2"/>
      <x:c r="G2" s="2"/>
      <x:c r="H2" s="2"/>
      <x:c r="I2" s="2"/>
      <x:c r="J2" s="2"/>
      <x:c r="K2" s="2"/>
      <x:c r="L2" s="2"/>
    </x:row>
    <x:row r="3" ht="23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32" customHeight="1">
      <x:c r="A5" s="2"/>
      <x:c r="B5" s="2"/>
      <x:c r="C5" s="9" t="str">
        <x:v>Illustrative calculation</x:v>
      </x:c>
      <x:c r="D5" s="9" t="str">
        <x:v>Result</x:v>
      </x:c>
      <x:c r="E5" s="2"/>
      <x:c r="F5" s="2"/>
      <x:c r="G5" s="2"/>
      <x:c r="H5" s="2"/>
      <x:c r="I5" s="2"/>
      <x:c r="J5" s="2"/>
      <x:c r="K5" s="2"/>
      <x:c r="L5" s="2"/>
    </x:row>
    <x:row r="6" ht="23" customHeight="1">
      <x:c r="A6" s="2"/>
      <x:c r="B6" s="2"/>
      <x:c r="C6" s="2" t="str">
        <x:v>Annual level debt service ($M)</x:v>
      </x:c>
      <x:c r="D6" s="26" t="n">
        <x:f>IF(Inputs!D22=0,Inputs!D21/Inputs!D23,Inputs!D21*Inputs!D22/(1-(1+Inputs!D22)^(-Inputs!D23)))</x:f>
        <x:v>11.53142164860722</x:v>
      </x:c>
      <x:c r="E6" s="2"/>
      <x:c r="F6" s="2" t="str">
        <x:v>Bond example assumes annual payments, no capitalized interest and no reserves.</x:v>
      </x:c>
      <x:c r="G6" s="2"/>
      <x:c r="H6" s="2"/>
      <x:c r="I6" s="2"/>
      <x:c r="J6" s="2"/>
      <x:c r="K6" s="2"/>
      <x:c r="L6" s="2"/>
    </x:row>
    <x:row r="7" ht="23" customHeight="1">
      <x:c r="A7" s="2"/>
      <x:c r="B7" s="2"/>
      <x:c r="C7" s="2" t="str">
        <x:v>Net usable bond proceeds ($M)</x:v>
      </x:c>
      <x:c r="D7" s="26" t="n">
        <x:f>Inputs!D21*(1-Inputs!D24)</x:f>
        <x:v>147</x:v>
      </x:c>
      <x:c r="E7" s="2"/>
      <x:c r="F7" s="2" t="str">
        <x:v>Issue costs reduce proceeds but do not reduce principal owed.</x:v>
      </x:c>
      <x:c r="G7" s="2"/>
      <x:c r="H7" s="2"/>
      <x:c r="I7" s="2"/>
      <x:c r="J7" s="2"/>
      <x:c r="K7" s="2"/>
      <x:c r="L7" s="2"/>
    </x:row>
    <x:row r="8" ht="23" customHeight="1">
      <x:c r="A8" s="2"/>
      <x:c r="B8" s="2"/>
      <x:c r="C8" s="2" t="str">
        <x:v>Annual project funds during deployment ($M)</x:v>
      </x:c>
      <x:c r="D8" s="26" t="n">
        <x:f>D7/Inputs!D25</x:f>
        <x:v>29.4</x:v>
      </x:c>
      <x:c r="E8" s="2"/>
      <x:c r="F8" s="2" t="str">
        <x:v>Debt continues after construction spending ends. No refinancing assumed.</x:v>
      </x:c>
      <x:c r="G8" s="2"/>
      <x:c r="H8" s="2"/>
      <x:c r="I8" s="2"/>
      <x:c r="J8" s="2"/>
      <x:c r="K8" s="2"/>
      <x:c r="L8" s="2"/>
    </x:row>
    <x:row r="9" ht="23" customHeight="1">
      <x:c r="A9" s="2"/>
      <x:c r="B9" s="2"/>
      <x:c r="C9" s="2" t="str">
        <x:v>Total payments over term ($M)</x:v>
      </x:c>
      <x:c r="D9" s="26" t="n">
        <x:f>D6*Inputs!D23</x:f>
        <x:v>230.6284329721444</x:v>
      </x:c>
      <x:c r="E9" s="2"/>
      <x:c r="F9" s="2"/>
      <x:c r="G9" s="2"/>
      <x:c r="H9" s="2"/>
      <x:c r="I9" s="2"/>
      <x:c r="J9" s="2"/>
      <x:c r="K9" s="2"/>
      <x:c r="L9" s="2"/>
    </x:row>
    <x:row r="10" ht="23" customHeight="1">
      <x:c r="A10" s="2"/>
      <x:c r="B10" s="2"/>
      <x:c r="C10" s="2" t="str">
        <x:v>Interest over term ($M)</x:v>
      </x:c>
      <x:c r="D10" s="26" t="n">
        <x:f>D9-Inputs!D21</x:f>
        <x:v>80.6284329721444</x:v>
      </x:c>
      <x:c r="E10" s="2"/>
      <x:c r="F10" s="2"/>
      <x:c r="G10" s="2"/>
      <x:c r="H10" s="2"/>
      <x:c r="I10" s="2"/>
      <x:c r="J10" s="2"/>
      <x:c r="K10" s="2"/>
      <x:c r="L10" s="2"/>
    </x:row>
    <x:row r="11" ht="23" customHeight="1">
      <x:c r="A11" s="2"/>
      <x:c r="B11" s="2"/>
      <x:c r="C11" s="2" t="str">
        <x:v>Illustrative annual rate / $1,000 AV</x:v>
      </x:c>
      <x:c r="D11" s="30" t="n">
        <x:f>D6/(Inputs!D26*Inputs!D27)*1000</x:f>
        <x:v>0.1734048368211612</x:v>
      </x:c>
      <x:c r="E11" s="2"/>
      <x:c r="F11" s="2" t="str">
        <x:v>AV and collections are hypothetical. This is not a Portland tax-rate proposal.</x:v>
      </x:c>
      <x:c r="G11" s="2"/>
      <x:c r="H11" s="2"/>
      <x:c r="I11" s="2"/>
      <x:c r="J11" s="2"/>
      <x:c r="K11" s="2"/>
      <x:c r="L11" s="2"/>
    </x:row>
    <x:row r="12" ht="23" customHeight="1">
      <x:c r="A12" s="2"/>
      <x:c r="B12" s="2"/>
      <x:c r="C12" s="2" t="str">
        <x:v>Annual tax at illustrative property AV ($)</x:v>
      </x:c>
      <x:c r="D12" s="31" t="n">
        <x:f>D11*Inputs!D29/1000</x:f>
        <x:v>52.02145104634836</x:v>
      </x:c>
      <x:c r="E12" s="2"/>
      <x:c r="F12" s="2"/>
      <x:c r="G12" s="2"/>
      <x:c r="H12" s="2"/>
      <x:c r="I12" s="2"/>
      <x:c r="J12" s="2"/>
      <x:c r="K12" s="2"/>
      <x:c r="L12" s="2"/>
    </x:row>
    <x:row r="13" ht="23" customHeight="1">
      <x:c r="A13" s="2"/>
      <x:c r="B13" s="2"/>
      <x:c r="C13" s="2" t="str">
        <x:v>Real annual proceeds in final deployment year ($M)</x:v>
      </x:c>
      <x:c r="D13" s="26" t="n">
        <x:f>D8/(1+Inputs!D18)^(Inputs!D25-1)</x:f>
        <x:v>26.12151920872125</x:v>
      </x:c>
      <x:c r="E13" s="2"/>
      <x:c r="F13" s="2"/>
      <x:c r="G13" s="2"/>
      <x:c r="H13" s="2"/>
      <x:c r="I13" s="2"/>
      <x:c r="J13" s="2"/>
      <x:c r="K13" s="2"/>
      <x:c r="L13" s="2"/>
    </x:row>
    <x:row r="14" ht="23" customHeight="1">
      <x:c r="A14" s="2"/>
      <x:c r="B14" s="2"/>
      <x:c r="C14" s="2" t="str">
        <x:v>Net district gain ($M/year)</x:v>
      </x:c>
      <x:c r="D14" s="26" t="n">
        <x:f>Inputs!D30-Inputs!D31-Inputs!D32-Inputs!D33</x:f>
        <x:v>-2</x:v>
      </x:c>
      <x:c r="E14" s="2"/>
      <x:c r="F14" s="2" t="str">
        <x:v>New taxes must be reduced by funding displaced and additional overhead.</x:v>
      </x:c>
      <x:c r="G14" s="2"/>
      <x:c r="H14" s="2"/>
      <x:c r="I14" s="2"/>
      <x:c r="J14" s="2"/>
      <x:c r="K14" s="2"/>
      <x:c r="L14" s="2"/>
    </x:row>
    <x:row r="15" ht="23" customHeight="1">
      <x:c r="A15" s="2"/>
      <x:c r="B15" s="2"/>
      <x:c r="C15" s="2" t="str">
        <x:v>Endowment for $1M/year at 4% payout ($M)</x:v>
      </x:c>
      <x:c r="D15" s="27" t="n">
        <x:f>1/0.04</x:f>
        <x:v>25</x:v>
      </x:c>
      <x:c r="E15" s="2"/>
      <x:c r="F15" s="2" t="str">
        <x:v>4% is an illustrative distribution policy, not a guaranteed investment return.</x:v>
      </x:c>
      <x:c r="G15" s="2"/>
      <x:c r="H15" s="2"/>
      <x:c r="I15" s="2"/>
      <x:c r="J15" s="2"/>
      <x:c r="K15" s="2"/>
      <x:c r="L15" s="2"/>
    </x:row>
    <x:row r="16" ht="23" customHeight="1">
      <x:c r="A16" s="2"/>
      <x:c r="B16" s="2"/>
      <x:c r="C16" s="2" t="str">
        <x:v>Endowment for new renewal target at 4% ($M)</x:v>
      </x:c>
      <x:c r="D16" s="26" t="n">
        <x:f>Inputs!D19/0.04</x:f>
        <x:v>1375</x:v>
      </x:c>
      <x:c r="E16" s="2"/>
      <x:c r="F16" s="2"/>
      <x:c r="G16" s="2"/>
      <x:c r="H16" s="2"/>
      <x:c r="I16" s="2"/>
      <x:c r="J16" s="2"/>
      <x:c r="K16" s="2"/>
      <x:c r="L16" s="2"/>
    </x:row>
    <x:row r="17" ht="23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 ht="23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32" customHeight="1">
      <x:c r="A20" s="2"/>
      <x:c r="B20" s="2"/>
      <x:c r="C20" s="9" t="str">
        <x:v>Payment year</x:v>
      </x:c>
      <x:c r="D20" s="9" t="str">
        <x:v>Opening debt</x:v>
      </x:c>
      <x:c r="E20" s="9" t="str">
        <x:v>Interest</x:v>
      </x:c>
      <x:c r="F20" s="9" t="str">
        <x:v>Principal</x:v>
      </x:c>
      <x:c r="G20" s="9" t="str">
        <x:v>Payment</x:v>
      </x:c>
      <x:c r="H20" s="9" t="str">
        <x:v>Closing debt</x:v>
      </x:c>
      <x:c r="I20" s="2"/>
      <x:c r="J20" s="2"/>
      <x:c r="K20" s="2"/>
      <x:c r="L20" s="2"/>
    </x:row>
    <x:row r="21" ht="23" customHeight="1">
      <x:c r="A21" s="2"/>
      <x:c r="B21" s="2"/>
      <x:c r="C21" s="25" t="n">
        <x:f>1</x:f>
        <x:v>1</x:v>
      </x:c>
      <x:c r="D21" s="26" t="n">
        <x:f>Inputs!D21</x:f>
        <x:v>150</x:v>
      </x:c>
      <x:c r="E21" s="26" t="n">
        <x:f>D21*Inputs!$D$22</x:f>
        <x:v>6.75</x:v>
      </x:c>
      <x:c r="F21" s="27" t="n">
        <x:f>G21-E21</x:f>
        <x:v>4.781421648607219</x:v>
      </x:c>
      <x:c r="G21" s="26" t="n">
        <x:f>IF(C21&lt;=Inputs!$D$23,$D$6,0)</x:f>
        <x:v>11.53142164860722</x:v>
      </x:c>
      <x:c r="H21" s="27" t="n">
        <x:f>D21-F21</x:f>
        <x:v>145.21857835139278</x:v>
      </x:c>
      <x:c r="I21" s="2"/>
      <x:c r="J21" s="2"/>
      <x:c r="K21" s="2"/>
      <x:c r="L21" s="2"/>
    </x:row>
    <x:row r="22" ht="23" customHeight="1">
      <x:c r="A22" s="2"/>
      <x:c r="B22" s="2"/>
      <x:c r="C22" s="25" t="n">
        <x:f>2</x:f>
        <x:v>2</x:v>
      </x:c>
      <x:c r="D22" s="27" t="n">
        <x:f>H21</x:f>
        <x:v>145.21857835139278</x:v>
      </x:c>
      <x:c r="E22" s="26" t="n">
        <x:f>D22*Inputs!$D$22</x:f>
        <x:v>6.534836025812675</x:v>
      </x:c>
      <x:c r="F22" s="27" t="n">
        <x:f>G22-E22</x:f>
        <x:v>4.996585622794544</x:v>
      </x:c>
      <x:c r="G22" s="26" t="n">
        <x:f>IF(C22&lt;=Inputs!$D$23,$D$6,0)</x:f>
        <x:v>11.53142164860722</x:v>
      </x:c>
      <x:c r="H22" s="27" t="n">
        <x:f>D22-F22</x:f>
        <x:v>140.22199272859822</x:v>
      </x:c>
      <x:c r="I22" s="2"/>
      <x:c r="J22" s="2"/>
      <x:c r="K22" s="2"/>
      <x:c r="L22" s="2"/>
    </x:row>
    <x:row r="23" ht="23" customHeight="1">
      <x:c r="A23" s="2"/>
      <x:c r="B23" s="2"/>
      <x:c r="C23" s="25" t="n">
        <x:f>3</x:f>
        <x:v>3</x:v>
      </x:c>
      <x:c r="D23" s="27" t="n">
        <x:f>H22</x:f>
        <x:v>140.22199272859822</x:v>
      </x:c>
      <x:c r="E23" s="26" t="n">
        <x:f>D23*Inputs!$D$22</x:f>
        <x:v>6.30998967278692</x:v>
      </x:c>
      <x:c r="F23" s="27" t="n">
        <x:f>G23-E23</x:f>
        <x:v>5.221431975820299</x:v>
      </x:c>
      <x:c r="G23" s="26" t="n">
        <x:f>IF(C23&lt;=Inputs!$D$23,$D$6,0)</x:f>
        <x:v>11.53142164860722</x:v>
      </x:c>
      <x:c r="H23" s="27" t="n">
        <x:f>D23-F23</x:f>
        <x:v>135.00056075277791</x:v>
      </x:c>
      <x:c r="I23" s="2"/>
      <x:c r="J23" s="2"/>
      <x:c r="K23" s="2"/>
      <x:c r="L23" s="2"/>
    </x:row>
    <x:row r="24" ht="23" customHeight="1">
      <x:c r="A24" s="2"/>
      <x:c r="B24" s="2"/>
      <x:c r="C24" s="25" t="n">
        <x:f>4</x:f>
        <x:v>4</x:v>
      </x:c>
      <x:c r="D24" s="27" t="n">
        <x:f>H23</x:f>
        <x:v>135.00056075277791</x:v>
      </x:c>
      <x:c r="E24" s="26" t="n">
        <x:f>D24*Inputs!$D$22</x:f>
        <x:v>6.075025233875006</x:v>
      </x:c>
      <x:c r="F24" s="27" t="n">
        <x:f>G24-E24</x:f>
        <x:v>5.456396414732214</x:v>
      </x:c>
      <x:c r="G24" s="26" t="n">
        <x:f>IF(C24&lt;=Inputs!$D$23,$D$6,0)</x:f>
        <x:v>11.53142164860722</x:v>
      </x:c>
      <x:c r="H24" s="27" t="n">
        <x:f>D24-F24</x:f>
        <x:v>129.5441643380457</x:v>
      </x:c>
      <x:c r="I24" s="2"/>
      <x:c r="J24" s="2"/>
      <x:c r="K24" s="2"/>
      <x:c r="L24" s="2"/>
    </x:row>
    <x:row r="25" ht="23" customHeight="1">
      <x:c r="A25" s="2"/>
      <x:c r="B25" s="2"/>
      <x:c r="C25" s="25" t="n">
        <x:f>5</x:f>
        <x:v>5</x:v>
      </x:c>
      <x:c r="D25" s="27" t="n">
        <x:f>H24</x:f>
        <x:v>129.5441643380457</x:v>
      </x:c>
      <x:c r="E25" s="26" t="n">
        <x:f>D25*Inputs!$D$22</x:f>
        <x:v>5.829487395212056</x:v>
      </x:c>
      <x:c r="F25" s="27" t="n">
        <x:f>G25-E25</x:f>
        <x:v>5.701934253395163</x:v>
      </x:c>
      <x:c r="G25" s="26" t="n">
        <x:f>IF(C25&lt;=Inputs!$D$23,$D$6,0)</x:f>
        <x:v>11.53142164860722</x:v>
      </x:c>
      <x:c r="H25" s="27" t="n">
        <x:f>D25-F25</x:f>
        <x:v>123.84223008465054</x:v>
      </x:c>
      <x:c r="I25" s="2"/>
      <x:c r="J25" s="2"/>
      <x:c r="K25" s="2"/>
      <x:c r="L25" s="2"/>
    </x:row>
    <x:row r="26" ht="23" customHeight="1">
      <x:c r="A26" s="2"/>
      <x:c r="B26" s="2"/>
      <x:c r="C26" s="25" t="n">
        <x:f>6</x:f>
        <x:v>6</x:v>
      </x:c>
      <x:c r="D26" s="27" t="n">
        <x:f>H25</x:f>
        <x:v>123.84223008465054</x:v>
      </x:c>
      <x:c r="E26" s="26" t="n">
        <x:f>D26*Inputs!$D$22</x:f>
        <x:v>5.572900353809274</x:v>
      </x:c>
      <x:c r="F26" s="27" t="n">
        <x:f>G26-E26</x:f>
        <x:v>5.958521294797945</x:v>
      </x:c>
      <x:c r="G26" s="26" t="n">
        <x:f>IF(C26&lt;=Inputs!$D$23,$D$6,0)</x:f>
        <x:v>11.53142164860722</x:v>
      </x:c>
      <x:c r="H26" s="27" t="n">
        <x:f>D26-F26</x:f>
        <x:v>117.88370878985259</x:v>
      </x:c>
      <x:c r="I26" s="2"/>
      <x:c r="J26" s="2"/>
      <x:c r="K26" s="2"/>
      <x:c r="L26" s="2"/>
    </x:row>
    <x:row r="27" ht="23" customHeight="1">
      <x:c r="A27" s="2"/>
      <x:c r="B27" s="2"/>
      <x:c r="C27" s="25" t="n">
        <x:f>7</x:f>
        <x:v>7</x:v>
      </x:c>
      <x:c r="D27" s="27" t="n">
        <x:f>H26</x:f>
        <x:v>117.88370878985259</x:v>
      </x:c>
      <x:c r="E27" s="26" t="n">
        <x:f>D27*Inputs!$D$22</x:f>
        <x:v>5.3047668955433664</x:v>
      </x:c>
      <x:c r="F27" s="27" t="n">
        <x:f>G27-E27</x:f>
        <x:v>6.226654753063853</x:v>
      </x:c>
      <x:c r="G27" s="26" t="n">
        <x:f>IF(C27&lt;=Inputs!$D$23,$D$6,0)</x:f>
        <x:v>11.53142164860722</x:v>
      </x:c>
      <x:c r="H27" s="27" t="n">
        <x:f>D27-F27</x:f>
        <x:v>111.65705403678874</x:v>
      </x:c>
      <x:c r="I27" s="2"/>
      <x:c r="J27" s="2"/>
      <x:c r="K27" s="2"/>
      <x:c r="L27" s="2"/>
    </x:row>
    <x:row r="28" ht="23" customHeight="1">
      <x:c r="A28" s="2"/>
      <x:c r="B28" s="2"/>
      <x:c r="C28" s="25" t="n">
        <x:f>8</x:f>
        <x:v>8</x:v>
      </x:c>
      <x:c r="D28" s="27" t="n">
        <x:f>H27</x:f>
        <x:v>111.65705403678874</x:v>
      </x:c>
      <x:c r="E28" s="26" t="n">
        <x:f>D28*Inputs!$D$22</x:f>
        <x:v>5.024567431655493</x:v>
      </x:c>
      <x:c r="F28" s="27" t="n">
        <x:f>G28-E28</x:f>
        <x:v>6.5068542169517265</x:v>
      </x:c>
      <x:c r="G28" s="26" t="n">
        <x:f>IF(C28&lt;=Inputs!$D$23,$D$6,0)</x:f>
        <x:v>11.53142164860722</x:v>
      </x:c>
      <x:c r="H28" s="27" t="n">
        <x:f>D28-F28</x:f>
        <x:v>105.15019981983701</x:v>
      </x:c>
      <x:c r="I28" s="2"/>
      <x:c r="J28" s="2"/>
      <x:c r="K28" s="2"/>
      <x:c r="L28" s="2"/>
    </x:row>
    <x:row r="29" ht="23" customHeight="1">
      <x:c r="A29" s="2"/>
      <x:c r="B29" s="2"/>
      <x:c r="C29" s="25" t="n">
        <x:f>9</x:f>
        <x:v>9</x:v>
      </x:c>
      <x:c r="D29" s="27" t="n">
        <x:f>H28</x:f>
        <x:v>105.15019981983701</x:v>
      </x:c>
      <x:c r="E29" s="26" t="n">
        <x:f>D29*Inputs!$D$22</x:f>
        <x:v>4.731758991892665</x:v>
      </x:c>
      <x:c r="F29" s="27" t="n">
        <x:f>G29-E29</x:f>
        <x:v>6.799662656714554</x:v>
      </x:c>
      <x:c r="G29" s="26" t="n">
        <x:f>IF(C29&lt;=Inputs!$D$23,$D$6,0)</x:f>
        <x:v>11.53142164860722</x:v>
      </x:c>
      <x:c r="H29" s="27" t="n">
        <x:f>D29-F29</x:f>
        <x:v>98.35053716312245</x:v>
      </x:c>
      <x:c r="I29" s="2"/>
      <x:c r="J29" s="2"/>
      <x:c r="K29" s="2"/>
      <x:c r="L29" s="2"/>
    </x:row>
    <x:row r="30" ht="23" customHeight="1">
      <x:c r="A30" s="2"/>
      <x:c r="B30" s="2"/>
      <x:c r="C30" s="25" t="n">
        <x:f>10</x:f>
        <x:v>10</x:v>
      </x:c>
      <x:c r="D30" s="27" t="n">
        <x:f>H29</x:f>
        <x:v>98.35053716312245</x:v>
      </x:c>
      <x:c r="E30" s="26" t="n">
        <x:f>D30*Inputs!$D$22</x:f>
        <x:v>4.42577417234051</x:v>
      </x:c>
      <x:c r="F30" s="27" t="n">
        <x:f>G30-E30</x:f>
        <x:v>7.105647476266709</x:v>
      </x:c>
      <x:c r="G30" s="26" t="n">
        <x:f>IF(C30&lt;=Inputs!$D$23,$D$6,0)</x:f>
        <x:v>11.53142164860722</x:v>
      </x:c>
      <x:c r="H30" s="27" t="n">
        <x:f>D30-F30</x:f>
        <x:v>91.24488968685574</x:v>
      </x:c>
      <x:c r="I30" s="2"/>
      <x:c r="J30" s="2"/>
      <x:c r="K30" s="2"/>
      <x:c r="L30" s="2"/>
    </x:row>
    <x:row r="31" ht="23" customHeight="1">
      <x:c r="A31" s="2"/>
      <x:c r="B31" s="2"/>
      <x:c r="C31" s="25" t="n">
        <x:f>11</x:f>
        <x:v>11</x:v>
      </x:c>
      <x:c r="D31" s="27" t="n">
        <x:f>H30</x:f>
        <x:v>91.24488968685574</x:v>
      </x:c>
      <x:c r="E31" s="26" t="n">
        <x:f>D31*Inputs!$D$22</x:f>
        <x:v>4.106020035908508</x:v>
      </x:c>
      <x:c r="F31" s="27" t="n">
        <x:f>G31-E31</x:f>
        <x:v>7.425401612698711</x:v>
      </x:c>
      <x:c r="G31" s="26" t="n">
        <x:f>IF(C31&lt;=Inputs!$D$23,$D$6,0)</x:f>
        <x:v>11.53142164860722</x:v>
      </x:c>
      <x:c r="H31" s="27" t="n">
        <x:f>D31-F31</x:f>
        <x:v>83.81948807415704</x:v>
      </x:c>
      <x:c r="I31" s="2"/>
      <x:c r="J31" s="2"/>
      <x:c r="K31" s="2"/>
      <x:c r="L31" s="2"/>
    </x:row>
    <x:row r="32" ht="23" customHeight="1">
      <x:c r="A32" s="2"/>
      <x:c r="B32" s="2"/>
      <x:c r="C32" s="25" t="n">
        <x:f>12</x:f>
        <x:v>12</x:v>
      </x:c>
      <x:c r="D32" s="27" t="n">
        <x:f>H31</x:f>
        <x:v>83.81948807415704</x:v>
      </x:c>
      <x:c r="E32" s="26" t="n">
        <x:f>D32*Inputs!$D$22</x:f>
        <x:v>3.7718769633370663</x:v>
      </x:c>
      <x:c r="F32" s="27" t="n">
        <x:f>G32-E32</x:f>
        <x:v>7.7595446852701535</x:v>
      </x:c>
      <x:c r="G32" s="26" t="n">
        <x:f>IF(C32&lt;=Inputs!$D$23,$D$6,0)</x:f>
        <x:v>11.53142164860722</x:v>
      </x:c>
      <x:c r="H32" s="27" t="n">
        <x:f>D32-F32</x:f>
        <x:v>76.05994338888688</x:v>
      </x:c>
      <x:c r="I32" s="2"/>
      <x:c r="J32" s="2"/>
      <x:c r="K32" s="2"/>
      <x:c r="L32" s="2"/>
    </x:row>
    <x:row r="33" ht="23" customHeight="1">
      <x:c r="A33" s="2"/>
      <x:c r="B33" s="2"/>
      <x:c r="C33" s="25" t="n">
        <x:f>13</x:f>
        <x:v>13</x:v>
      </x:c>
      <x:c r="D33" s="27" t="n">
        <x:f>H32</x:f>
        <x:v>76.05994338888688</x:v>
      </x:c>
      <x:c r="E33" s="26" t="n">
        <x:f>D33*Inputs!$D$22</x:f>
        <x:v>3.4226974524999094</x:v>
      </x:c>
      <x:c r="F33" s="27" t="n">
        <x:f>G33-E33</x:f>
        <x:v>8.10872419610731</x:v>
      </x:c>
      <x:c r="G33" s="26" t="n">
        <x:f>IF(C33&lt;=Inputs!$D$23,$D$6,0)</x:f>
        <x:v>11.53142164860722</x:v>
      </x:c>
      <x:c r="H33" s="27" t="n">
        <x:f>D33-F33</x:f>
        <x:v>67.95121919277958</x:v>
      </x:c>
      <x:c r="I33" s="2"/>
      <x:c r="J33" s="2"/>
      <x:c r="K33" s="2"/>
      <x:c r="L33" s="2"/>
    </x:row>
    <x:row r="34" ht="23" customHeight="1">
      <x:c r="A34" s="2"/>
      <x:c r="B34" s="2"/>
      <x:c r="C34" s="25" t="n">
        <x:f>14</x:f>
        <x:v>14</x:v>
      </x:c>
      <x:c r="D34" s="27" t="n">
        <x:f>H33</x:f>
        <x:v>67.95121919277958</x:v>
      </x:c>
      <x:c r="E34" s="26" t="n">
        <x:f>D34*Inputs!$D$22</x:f>
        <x:v>3.0578048636750808</x:v>
      </x:c>
      <x:c r="F34" s="27" t="n">
        <x:f>G34-E34</x:f>
        <x:v>8.473616784932139</x:v>
      </x:c>
      <x:c r="G34" s="26" t="n">
        <x:f>IF(C34&lt;=Inputs!$D$23,$D$6,0)</x:f>
        <x:v>11.53142164860722</x:v>
      </x:c>
      <x:c r="H34" s="27" t="n">
        <x:f>D34-F34</x:f>
        <x:v>59.477602407847435</x:v>
      </x:c>
      <x:c r="I34" s="2"/>
      <x:c r="J34" s="2"/>
      <x:c r="K34" s="2"/>
      <x:c r="L34" s="2"/>
    </x:row>
    <x:row r="35" ht="23" customHeight="1">
      <x:c r="A35" s="2"/>
      <x:c r="B35" s="2"/>
      <x:c r="C35" s="25" t="n">
        <x:f>15</x:f>
        <x:v>15</x:v>
      </x:c>
      <x:c r="D35" s="27" t="n">
        <x:f>H34</x:f>
        <x:v>59.477602407847435</x:v>
      </x:c>
      <x:c r="E35" s="26" t="n">
        <x:f>D35*Inputs!$D$22</x:f>
        <x:v>2.6764921083531346</x:v>
      </x:c>
      <x:c r="F35" s="27" t="n">
        <x:f>G35-E35</x:f>
        <x:v>8.854929540254085</x:v>
      </x:c>
      <x:c r="G35" s="26" t="n">
        <x:f>IF(C35&lt;=Inputs!$D$23,$D$6,0)</x:f>
        <x:v>11.53142164860722</x:v>
      </x:c>
      <x:c r="H35" s="27" t="n">
        <x:f>D35-F35</x:f>
        <x:v>50.62267286759335</x:v>
      </x:c>
      <x:c r="I35" s="2"/>
      <x:c r="J35" s="2"/>
      <x:c r="K35" s="2"/>
      <x:c r="L35" s="2"/>
    </x:row>
    <x:row r="36" ht="23" customHeight="1">
      <x:c r="A36" s="2"/>
      <x:c r="B36" s="2"/>
      <x:c r="C36" s="25" t="n">
        <x:f>16</x:f>
        <x:v>16</x:v>
      </x:c>
      <x:c r="D36" s="27" t="n">
        <x:f>H35</x:f>
        <x:v>50.62267286759335</x:v>
      </x:c>
      <x:c r="E36" s="26" t="n">
        <x:f>D36*Inputs!$D$22</x:f>
        <x:v>2.2780202790417006</x:v>
      </x:c>
      <x:c r="F36" s="27" t="n">
        <x:f>G36-E36</x:f>
        <x:v>9.25340136956552</x:v>
      </x:c>
      <x:c r="G36" s="26" t="n">
        <x:f>IF(C36&lt;=Inputs!$D$23,$D$6,0)</x:f>
        <x:v>11.53142164860722</x:v>
      </x:c>
      <x:c r="H36" s="27" t="n">
        <x:f>D36-F36</x:f>
        <x:v>41.36927149802783</x:v>
      </x:c>
      <x:c r="I36" s="2"/>
      <x:c r="J36" s="2"/>
      <x:c r="K36" s="2"/>
      <x:c r="L36" s="2"/>
    </x:row>
    <x:row r="37" ht="23" customHeight="1">
      <x:c r="A37" s="2"/>
      <x:c r="B37" s="2"/>
      <x:c r="C37" s="25" t="n">
        <x:f>17</x:f>
        <x:v>17</x:v>
      </x:c>
      <x:c r="D37" s="27" t="n">
        <x:f>H36</x:f>
        <x:v>41.36927149802783</x:v>
      </x:c>
      <x:c r="E37" s="26" t="n">
        <x:f>D37*Inputs!$D$22</x:f>
        <x:v>1.8616172174112522</x:v>
      </x:c>
      <x:c r="F37" s="27" t="n">
        <x:f>G37-E37</x:f>
        <x:v>9.669804431195967</x:v>
      </x:c>
      <x:c r="G37" s="26" t="n">
        <x:f>IF(C37&lt;=Inputs!$D$23,$D$6,0)</x:f>
        <x:v>11.53142164860722</x:v>
      </x:c>
      <x:c r="H37" s="27" t="n">
        <x:f>D37-F37</x:f>
        <x:v>31.69946706683186</x:v>
      </x:c>
      <x:c r="I37" s="2"/>
      <x:c r="J37" s="2"/>
      <x:c r="K37" s="2"/>
      <x:c r="L37" s="2"/>
    </x:row>
    <x:row r="38" ht="23" customHeight="1">
      <x:c r="A38" s="2"/>
      <x:c r="B38" s="2"/>
      <x:c r="C38" s="25" t="n">
        <x:f>18</x:f>
        <x:v>18</x:v>
      </x:c>
      <x:c r="D38" s="27" t="n">
        <x:f>H37</x:f>
        <x:v>31.69946706683186</x:v>
      </x:c>
      <x:c r="E38" s="26" t="n">
        <x:f>D38*Inputs!$D$22</x:f>
        <x:v>1.4264760180074336</x:v>
      </x:c>
      <x:c r="F38" s="27" t="n">
        <x:f>G38-E38</x:f>
        <x:v>10.104945630599786</x:v>
      </x:c>
      <x:c r="G38" s="26" t="n">
        <x:f>IF(C38&lt;=Inputs!$D$23,$D$6,0)</x:f>
        <x:v>11.53142164860722</x:v>
      </x:c>
      <x:c r="H38" s="27" t="n">
        <x:f>D38-F38</x:f>
        <x:v>21.594521436232075</x:v>
      </x:c>
      <x:c r="I38" s="2"/>
      <x:c r="J38" s="2"/>
      <x:c r="K38" s="2"/>
      <x:c r="L38" s="2"/>
    </x:row>
    <x:row r="39" ht="23" customHeight="1">
      <x:c r="A39" s="2"/>
      <x:c r="B39" s="2"/>
      <x:c r="C39" s="25" t="n">
        <x:f>19</x:f>
        <x:v>19</x:v>
      </x:c>
      <x:c r="D39" s="27" t="n">
        <x:f>H38</x:f>
        <x:v>21.594521436232075</x:v>
      </x:c>
      <x:c r="E39" s="26" t="n">
        <x:f>D39*Inputs!$D$22</x:f>
        <x:v>0.9717534646304433</x:v>
      </x:c>
      <x:c r="F39" s="27" t="n">
        <x:f>G39-E39</x:f>
        <x:v>10.559668183976775</x:v>
      </x:c>
      <x:c r="G39" s="26" t="n">
        <x:f>IF(C39&lt;=Inputs!$D$23,$D$6,0)</x:f>
        <x:v>11.53142164860722</x:v>
      </x:c>
      <x:c r="H39" s="27" t="n">
        <x:f>D39-F39</x:f>
        <x:v>11.0348532522553</x:v>
      </x:c>
      <x:c r="I39" s="2"/>
      <x:c r="J39" s="2"/>
      <x:c r="K39" s="2"/>
      <x:c r="L39" s="2"/>
    </x:row>
    <x:row r="40" ht="23" customHeight="1">
      <x:c r="A40" s="2"/>
      <x:c r="B40" s="2"/>
      <x:c r="C40" s="25" t="n">
        <x:f>20</x:f>
        <x:v>20</x:v>
      </x:c>
      <x:c r="D40" s="27" t="n">
        <x:f>H39</x:f>
        <x:v>11.0348532522553</x:v>
      </x:c>
      <x:c r="E40" s="26" t="n">
        <x:f>D40*Inputs!$D$22</x:f>
        <x:v>0.4965683963514885</x:v>
      </x:c>
      <x:c r="F40" s="27" t="n">
        <x:f>G40-E40</x:f>
        <x:v>11.034853252255731</x:v>
      </x:c>
      <x:c r="G40" s="26" t="n">
        <x:f>IF(C40&lt;=Inputs!$D$23,$D$6,0)</x:f>
        <x:v>11.53142164860722</x:v>
      </x:c>
      <x:c r="H40" s="27" t="n">
        <x:f>D40-F40</x:f>
        <x:v>-4.3165471197426086e-13</x:v>
      </x:c>
      <x:c r="I40" s="2"/>
      <x:c r="J40" s="2"/>
      <x:c r="K40" s="2"/>
      <x:c r="L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3" customHeight="1">
      <x:c r="A42" s="2"/>
      <x:c r="B42" s="2"/>
      <x:c r="C42" s="2" t="str">
        <x:v>Debt schedule displays first 20 years; terms longer than 20 retain a closing balance.</x:v>
      </x:c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xSplit="4" ySplit="5" topLeftCell="E6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10" hidden="0" customWidth="1"/>
    <x:col min="4" max="4" width="39" hidden="0" customWidth="1"/>
    <x:col min="5" max="5" width="32" hidden="0" customWidth="1"/>
    <x:col min="6" max="6" width="65" hidden="0" customWidth="1"/>
    <x:col min="7" max="7" width="53" hidden="0" customWidth="1"/>
    <x:col min="8" max="8" width="24" hidden="0" customWidth="1"/>
    <x:col min="9" max="9" width="52" hidden="0" customWidth="1"/>
    <x:col min="10" max="10" width="24" hidden="0" customWidth="1"/>
    <x:col min="11" max="11" width="68" hidden="0" customWidth="1"/>
    <x:col min="12" max="12" width="22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3" customHeight="1">
      <x:c r="A2" s="2"/>
      <x:c r="B2" s="2"/>
      <x:c r="C2" s="3" t="str">
        <x:v>Options</x:v>
      </x:c>
      <x:c r="D2" s="2"/>
      <x:c r="E2" s="2"/>
      <x:c r="F2" s="2"/>
      <x:c r="G2" s="2"/>
      <x:c r="H2" s="2"/>
      <x:c r="I2" s="2"/>
      <x:c r="J2" s="2"/>
      <x:c r="K2" s="2"/>
      <x:c r="L2" s="2"/>
    </x:row>
    <x:row r="3" ht="23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3" customHeight="1">
      <x:c r="A4" s="2"/>
      <x:c r="B4" s="2"/>
      <x:c r="C4" s="2" t="str">
        <x:v>Priority ranks effort, not additive receipts. Historical concepts are not current forecasts.</x:v>
      </x:c>
      <x:c r="D4" s="2"/>
      <x:c r="E4" s="2"/>
      <x:c r="F4" s="2"/>
      <x:c r="G4" s="2"/>
      <x:c r="H4" s="2"/>
      <x:c r="I4" s="2"/>
      <x:c r="J4" s="2"/>
      <x:c r="K4" s="2"/>
      <x:c r="L4" s="2"/>
    </x:row>
    <x:row r="5" ht="32" customHeight="1">
      <x:c r="A5" s="2"/>
      <x:c r="B5" s="2"/>
      <x:c r="C5" s="9" t="str">
        <x:v>Priority</x:v>
      </x:c>
      <x:c r="D5" s="9" t="str">
        <x:v>Source</x:v>
      </x:c>
      <x:c r="E5" s="9" t="str">
        <x:v>Best use</x:v>
      </x:c>
      <x:c r="F5" s="9" t="str">
        <x:v>Scale / evidence</x:v>
      </x:c>
      <x:c r="G5" s="9" t="str">
        <x:v>Authority / limits</x:v>
      </x:c>
      <x:c r="H5" s="9" t="str">
        <x:v>Reliability</x:v>
      </x:c>
      <x:c r="I5" s="9" t="str">
        <x:v>Equity</x:v>
      </x:c>
      <x:c r="J5" s="9" t="str">
        <x:v>Planning time</x:v>
      </x:c>
      <x:c r="K5" s="9" t="str">
        <x:v>Next action</x:v>
      </x:c>
      <x:c r="L5" s="9" t="str">
        <x:v>Sources</x:v>
      </x:c>
    </x:row>
    <x:row r="6" ht="68" customHeight="1">
      <x:c r="A6" s="2"/>
      <x:c r="B6" s="2"/>
      <x:c r="C6" s="32" t="n">
        <x:v>1</x:v>
      </x:c>
      <x:c r="D6" s="32" t="str">
        <x:v>Protect existing City support</x:v>
      </x:c>
      <x:c r="E6" s="32" t="str">
        <x:v>Core operations; renewal</x:v>
      </x:c>
      <x:c r="F6" s="32" t="str">
        <x:v>Existing $67.382M General Fund discretionary line; not all unrestricted operating revenue</x:v>
      </x:c>
      <x:c r="G6" s="32" t="str">
        <x:v>Annual appropriation; broad use</x:v>
      </x:c>
      <x:c r="H6" s="32" t="str">
        <x:v>Medium</x:v>
      </x:c>
      <x:c r="I6" s="32" t="str">
        <x:v>Broad tax base; competes with other essential services</x:v>
      </x:c>
      <x:c r="J6" s="32" t="str">
        <x:v>0–12 months</x:v>
      </x:c>
      <x:c r="K6" s="32" t="str">
        <x:v>Agree service floor and transparent change rule; do not assume a binding perpetual appropriation.</x:v>
      </x:c>
      <x:c r="L6" s="32" t="str">
        <x:v>F06; F21</x:v>
      </x:c>
    </x:row>
    <x:row r="7" ht="68" customHeight="1">
      <x:c r="A7" s="2"/>
      <x:c r="B7" s="2"/>
      <x:c r="C7" s="32" t="n">
        <x:v>2</x:v>
      </x:c>
      <x:c r="D7" s="32" t="str">
        <x:v>Preserve levy services and plan succession</x:v>
      </x:c>
      <x:c r="E7" s="32" t="str">
        <x:v>Core operations</x:v>
      </x:c>
      <x:c r="F7" s="32" t="str">
        <x:v>FY26–27 tax budget $81.575M; $.03 of $1.40 rate for capital</x:v>
      </x:c>
      <x:c r="G7" s="32" t="str">
        <x:v>Voter-approved through FY30–31; successor needs action</x:v>
      </x:c>
      <x:c r="H7" s="32" t="str">
        <x:v>Medium until expiry</x:v>
      </x:c>
      <x:c r="I7" s="32" t="str">
        <x:v>Property-tax inequities and compression; keep access discounts</x:v>
      </x:c>
      <x:c r="J7" s="32" t="str">
        <x:v>Now; replacement before July2031</x:v>
      </x:c>
      <x:c r="K7" s="32" t="str">
        <x:v>Prepare a fallback renewal while testing permanent options; never count both as new money.</x:v>
      </x:c>
      <x:c r="L7" s="32" t="str">
        <x:v>F02; F06; F10; F15</x:v>
      </x:c>
    </x:row>
    <x:row r="8" ht="68" customHeight="1">
      <x:c r="A8" s="2"/>
      <x:c r="B8" s="2"/>
      <x:c r="C8" s="32" t="n">
        <x:v>3</x:v>
      </x:c>
      <x:c r="D8" s="32" t="str">
        <x:v>GO repair bond with operating commitments</x:v>
      </x:c>
      <x:c r="E8" s="32" t="str">
        <x:v>Eligible major rehabilitation</x:v>
      </x:c>
      <x:c r="F8" s="32" t="str">
        <x:v>Illustrative $150M issue yields $147M after 2% costs; $11.53M/year debt at 4.5%/20yr</x:v>
      </x:c>
      <x:c r="G8" s="32" t="str">
        <x:v>Voter-approved capital financing; not operating income</x:v>
      </x:c>
      <x:c r="H8" s="32" t="str">
        <x:v>High after approval</x:v>
      </x:c>
      <x:c r="I8" s="32" t="str">
        <x:v>Broad repayment; prioritize public functions and underserved areas</x:v>
      </x:c>
      <x:c r="J8" s="32" t="str">
        <x:v>18–36 months, planning assumption</x:v>
      </x:c>
      <x:c r="K8" s="32" t="str">
        <x:v>First scope a deliverable five-year program; coordinate with citywide bond and certify lifecycle funding.</x:v>
      </x:c>
      <x:c r="L8" s="32" t="str">
        <x:v>F09; F32; F45</x:v>
      </x:c>
    </x:row>
    <x:row r="9" ht="68" customHeight="1">
      <x:c r="A9" s="2"/>
      <x:c r="B9" s="2"/>
      <x:c r="C9" s="32" t="n">
        <x:v>4</x:v>
      </x:c>
      <x:c r="D9" s="32" t="str">
        <x:v>Permanent parks tax district</x:v>
      </x:c>
      <x:c r="E9" s="32" t="str">
        <x:v>Recurring operations and renewal</x:v>
      </x:c>
      <x:c r="F9" s="32" t="str">
        <x:v>No current rate forecast. 2024 packet modeled $55M at $.90, with $8.6M other-jurisdiction compression</x:v>
      </x:c>
      <x:c r="G9" s="32" t="str">
        <x:v>ORS266/198 independent district; city-governed variant needs legislation</x:v>
      </x:c>
      <x:c r="H9" s="32" t="str">
        <x:v>High continuity; growth risk</x:v>
      </x:c>
      <x:c r="I9" s="32" t="str">
        <x:v>Property-tax burden and effects on overlapping services</x:v>
      </x:c>
      <x:c r="J9" s="32" t="str">
        <x:v>2–5 years, planning assumption</x:v>
      </x:c>
      <x:c r="K9" s="32" t="str">
        <x:v>Commission net-revenue, governance and labor feasibility; choose only if net service gain beats levy alternative.</x:v>
      </x:c>
      <x:c r="L9" s="32" t="str">
        <x:v>F03; F07; F08; F23</x:v>
      </x:c>
    </x:row>
    <x:row r="10" ht="68" customHeight="1">
      <x:c r="A10" s="2"/>
      <x:c r="B10" s="2"/>
      <x:c r="C10" s="32" t="n">
        <x:v>5</x:v>
      </x:c>
      <x:c r="D10" s="32" t="str">
        <x:v>PCEF and service-specific interagency agreements</x:v>
      </x:c>
      <x:c r="E10" s="32" t="str">
        <x:v>Trees, climate resilience, eligible building work</x:v>
      </x:c>
      <x:c r="F10" s="32" t="str">
        <x:v>$26.874M PCEF allocation in FY26–27 PP&amp;R budget; already committed, not spare money</x:v>
      </x:c>
      <x:c r="G10" s="32" t="str">
        <x:v>Restricted appropriations / agreements</x:v>
      </x:c>
      <x:c r="H10" s="32" t="str">
        <x:v>Medium</x:v>
      </x:c>
      <x:c r="I10" s="32" t="str">
        <x:v>Can focus benefits on heat-vulnerable and underserved communities</x:v>
      </x:c>
      <x:c r="J10" s="32" t="str">
        <x:v>0–24 months</x:v>
      </x:c>
      <x:c r="K10" s="32" t="str">
        <x:v>Align eligible projects with climate, stormwater, transportation or other funded outcomes; no general raid on ratepayer funds.</x:v>
      </x:c>
      <x:c r="L10" s="32" t="str">
        <x:v>F06; F18; F47</x:v>
      </x:c>
    </x:row>
    <x:row r="11" ht="68" customHeight="1">
      <x:c r="A11" s="2"/>
      <x:c r="B11" s="2"/>
      <x:c r="C11" s="32" t="n">
        <x:v>6</x:v>
      </x:c>
      <x:c r="D11" s="32" t="str">
        <x:v>SDCs and already-awarded Metro capital funds</x:v>
      </x:c>
      <x:c r="E11" s="32" t="str">
        <x:v>Eligible capacity expansion and nature projects</x:v>
      </x:c>
      <x:c r="F11" s="32" t="str">
        <x:v>Use uncommitted balances and receipt forecasts; no verified new annual yield here</x:v>
      </x:c>
      <x:c r="G11" s="32" t="str">
        <x:v>Restricted capital; development-cycle dependent</x:v>
      </x:c>
      <x:c r="H11" s="32" t="str">
        <x:v>Low–medium</x:v>
      </x:c>
      <x:c r="I11" s="32" t="str">
        <x:v>Growth pays eligible share; housing exemptions reduce proceeds</x:v>
      </x:c>
      <x:c r="J11" s="32" t="str">
        <x:v>0–24 months</x:v>
      </x:c>
      <x:c r="K11" s="32" t="str">
        <x:v>Split growth from repair scope and account for housing exemptions through Sept2028; do not use for routine maintenance.</x:v>
      </x:c>
      <x:c r="L11" s="32" t="str">
        <x:v>F13; F14; F29; F46</x:v>
      </x:c>
    </x:row>
    <x:row r="12" ht="68" customHeight="1">
      <x:c r="A12" s="2"/>
      <x:c r="B12" s="2"/>
      <x:c r="C12" s="32" t="n">
        <x:v>7</x:v>
      </x:c>
      <x:c r="D12" s="32" t="str">
        <x:v>Public-service purchase agreements</x:v>
      </x:c>
      <x:c r="E12" s="32" t="str">
        <x:v>Preschool, youth, health or other specified service</x:v>
      </x:c>
      <x:c r="F12" s="32" t="str">
        <x:v>FY26–27 General Fund intergovernmental line $2.889M; May notes describe $2.7M Preschool for All</x:v>
      </x:c>
      <x:c r="G12" s="32" t="str">
        <x:v>Contracted reimbursement; eligibility and renewal risk</x:v>
      </x:c>
      <x:c r="H12" s="32" t="str">
        <x:v>Medium</x:v>
      </x:c>
      <x:c r="I12" s="32" t="str">
        <x:v>Strong if it removes user charges and funds full delivery costs</x:v>
      </x:c>
      <x:c r="J12" s="32" t="str">
        <x:v>0–18 months</x:v>
      </x:c>
      <x:c r="K12" s="32" t="str">
        <x:v>Expand only documented reimbursements at full incremental cost; do not assume health insurers will pay for general parks access.</x:v>
      </x:c>
      <x:c r="L12" s="32" t="str">
        <x:v>F06; F22</x:v>
      </x:c>
    </x:row>
    <x:row r="13" ht="68" customHeight="1">
      <x:c r="A13" s="2"/>
      <x:c r="B13" s="2"/>
      <x:c r="C13" s="32" t="n">
        <x:v>8</x:v>
      </x:c>
      <x:c r="D13" s="32" t="str">
        <x:v>Parking, commercial concessions and permits</x:v>
      </x:c>
      <x:c r="E13" s="32" t="str">
        <x:v>Visitor management; site operations</x:v>
      </x:c>
      <x:c r="F13" s="32" t="str">
        <x:v>No validated incremental margin; $1M operator sales at 10% share is only $100k City gross</x:v>
      </x:c>
      <x:c r="G13" s="32" t="str">
        <x:v>Fees and contracts; site and demand dependent</x:v>
      </x:c>
      <x:c r="H13" s="32" t="str">
        <x:v>Medium</x:v>
      </x:c>
      <x:c r="I13" s="32" t="str">
        <x:v>Parking fees can burden low-income users; protect arrival choices</x:v>
      </x:c>
      <x:c r="J13" s="32" t="str">
        <x:v>6–24 months</x:v>
      </x:c>
      <x:c r="K13" s="32" t="str">
        <x:v>Pilot net-margin pricing with waivers, access monitoring, maintenance and enforcement included.</x:v>
      </x:c>
      <x:c r="L13" s="32" t="str">
        <x:v>F03; F06</x:v>
      </x:c>
    </x:row>
    <x:row r="14" ht="68" customHeight="1">
      <x:c r="A14" s="2"/>
      <x:c r="B14" s="2"/>
      <x:c r="C14" s="32" t="n">
        <x:v>9</x:v>
      </x:c>
      <x:c r="D14" s="32" t="str">
        <x:v>State, federal and Metro grants</x:v>
      </x:c>
      <x:c r="E14" s="32" t="str">
        <x:v>Eligible capital, trails, habitat, resilience</x:v>
      </x:c>
      <x:c r="F14" s="32" t="str">
        <x:v>Awards are project-specific; do not assign speculative annual totals</x:v>
      </x:c>
      <x:c r="G14" s="32" t="str">
        <x:v>Competitive and restricted; match and compliance costs</x:v>
      </x:c>
      <x:c r="H14" s="32" t="str">
        <x:v>Low as baseline</x:v>
      </x:c>
      <x:c r="I14" s="32" t="str">
        <x:v>Useful for targeted need if grant capacity and match exist</x:v>
      </x:c>
      <x:c r="J14" s="32" t="str">
        <x:v>6–36 months</x:v>
      </x:c>
      <x:c r="K14" s="32" t="str">
        <x:v>Create ready-to-apply project shelf; screen OPRD/LWCF/Metro first; verify current notices for other programs.</x:v>
      </x:c>
      <x:c r="L14" s="32" t="str">
        <x:v>F28; F30; F42</x:v>
      </x:c>
    </x:row>
    <x:row r="15" ht="68" customHeight="1">
      <x:c r="A15" s="2"/>
      <x:c r="B15" s="2"/>
      <x:c r="C15" s="32" t="n">
        <x:v>10</x:v>
      </x:c>
      <x:c r="D15" s="32" t="str">
        <x:v>Philanthropy and foundation campaigns</x:v>
      </x:c>
      <x:c r="E15" s="32" t="str">
        <x:v>Discrete improvements, access support, funded pilots</x:v>
      </x:c>
      <x:c r="F15" s="32" t="str">
        <x:v>Uncommitted commitments unknown; net after fundraising and restrictions</x:v>
      </x:c>
      <x:c r="G15" s="32" t="str">
        <x:v>Voluntary, often one-time or restricted</x:v>
      </x:c>
      <x:c r="H15" s="32" t="str">
        <x:v>Low</x:v>
      </x:c>
      <x:c r="I15" s="32" t="str">
        <x:v>Donor geography can widen gaps without a citywide allocation rule</x:v>
      </x:c>
      <x:c r="J15" s="32" t="str">
        <x:v>6–36 months</x:v>
      </x:c>
      <x:c r="K15" s="32" t="str">
        <x:v>Offer costed project bundles and maintenance commitments; treat pledges separately from cash.</x:v>
      </x:c>
      <x:c r="L15" s="32" t="str">
        <x:v>F03; F45</x:v>
      </x:c>
    </x:row>
    <x:row r="16" ht="68" customHeight="1">
      <x:c r="A16" s="2"/>
      <x:c r="B16" s="2"/>
      <x:c r="C16" s="32" t="n">
        <x:v>11</x:v>
      </x:c>
      <x:c r="D16" s="32" t="str">
        <x:v>Recreation fees, rentals, golf and PIR</x:v>
      </x:c>
      <x:c r="E16" s="32" t="str">
        <x:v>Individual/exclusive services with ability-to-pay protections</x:v>
      </x:c>
      <x:c r="F16" s="32" t="str">
        <x:v>GF charges $13.199M; golf charges $18.252M; PIR charges $2.170M budgeted, not surplus</x:v>
      </x:c>
      <x:c r="G16" s="32" t="str">
        <x:v>Existing fees; sensitive to price and service availability</x:v>
      </x:c>
      <x:c r="H16" s="32" t="str">
        <x:v>Medium</x:v>
      </x:c>
      <x:c r="I16" s="32" t="str">
        <x:v>Broad fee hikes can suppress use; subsidy is an intentional public benefit</x:v>
      </x:c>
      <x:c r="J16" s="32" t="str">
        <x:v>0–18 months</x:v>
      </x:c>
      <x:c r="K16" s="32" t="str">
        <x:v>Use service-specific cost recovery; retain low-income access and reinvest enterprise renewal needs before transfers.</x:v>
      </x:c>
      <x:c r="L16" s="32" t="str">
        <x:v>F06; F22</x:v>
      </x:c>
    </x:row>
    <x:row r="17" ht="68" customHeight="1">
      <x:c r="A17" s="2"/>
      <x:c r="B17" s="2"/>
      <x:c r="C17" s="32" t="n">
        <x:v>12</x:v>
      </x:c>
      <x:c r="D17" s="32" t="str">
        <x:v>Dedicated parks utility/service fee</x:v>
      </x:c>
      <x:c r="E17" s="32" t="str">
        <x:v>Recurring maintenance if lawfully designed</x:v>
      </x:c>
      <x:c r="F17" s="32" t="str">
        <x:v>Illustration: 250k billed units × $5/month = $15M gross; 90% retention = $13.5M</x:v>
      </x:c>
      <x:c r="G17" s="32" t="str">
        <x:v>Portland-specific authority, classification and design require legal review</x:v>
      </x:c>
      <x:c r="H17" s="32" t="str">
        <x:v>Medium–high if indexed</x:v>
      </x:c>
      <x:c r="I17" s="32" t="str">
        <x:v>Flat charges regressive; exemptions, tenant effects and shutoff separation matter</x:v>
      </x:c>
      <x:c r="J17" s="32" t="str">
        <x:v>12–36 months</x:v>
      </x:c>
      <x:c r="K17" s="32" t="str">
        <x:v>Study as medium-scale alternative/supplement; Medford precedent is not Portland authorization.</x:v>
      </x:c>
      <x:c r="L17" s="32" t="str">
        <x:v>F26; F03</x:v>
      </x:c>
    </x:row>
    <x:row r="18" ht="68" customHeight="1">
      <x:c r="A18" s="2"/>
      <x:c r="B18" s="2"/>
      <x:c r="C18" s="32" t="n">
        <x:v>13</x:v>
      </x:c>
      <x:c r="D18" s="32" t="str">
        <x:v>Progressive dedicated income tax</x:v>
      </x:c>
      <x:c r="E18" s="32" t="str">
        <x:v>Large-scale recurring support, with stabilization reserve</x:v>
      </x:c>
      <x:c r="F18" s="32" t="str">
        <x:v>2024 packet: ~$70–90M from top-2%-income concept; rate not specified, not a usable forecast</x:v>
      </x:c>
      <x:c r="G18" s="32" t="str">
        <x:v>New measure and legal/administrative design</x:v>
      </x:c>
      <x:c r="H18" s="32" t="str">
        <x:v>Low–medium</x:v>
      </x:c>
      <x:c r="I18" s="32" t="str">
        <x:v>Ability-to-pay advantage; cumulative tax load and mobility sensitivity</x:v>
      </x:c>
      <x:c r="J18" s="32" t="str">
        <x:v>18–36 months</x:v>
      </x:c>
      <x:c r="K18" s="32" t="str">
        <x:v>Refresh taxable-base and behavioral analysis; evaluate jointly with City revenue strategy before recommendation.</x:v>
      </x:c>
      <x:c r="L18" s="32" t="str">
        <x:v>F03; F43</x:v>
      </x:c>
    </x:row>
    <x:row r="19" ht="68" customHeight="1">
      <x:c r="A19" s="2"/>
      <x:c r="B19" s="2"/>
      <x:c r="C19" s="32" t="n">
        <x:v>14</x:v>
      </x:c>
      <x:c r="D19" s="32" t="str">
        <x:v>Payroll tax</x:v>
      </x:c>
      <x:c r="E19" s="32" t="str">
        <x:v>Large-scale recurring support</x:v>
      </x:c>
      <x:c r="F19" s="32" t="str">
        <x:v>Historical .5% concept ~$100M; illustration .1% on $10B base = $10M gross</x:v>
      </x:c>
      <x:c r="G19" s="32" t="str">
        <x:v>New local authority/measure design to confirm</x:v>
      </x:c>
      <x:c r="H19" s="32" t="str">
        <x:v>Medium</x:v>
      </x:c>
      <x:c r="I19" s="32" t="str">
        <x:v>Burden depends on employee/employer design; low-wage exemption essential</x:v>
      </x:c>
      <x:c r="J19" s="32" t="str">
        <x:v>18–36 months</x:v>
      </x:c>
      <x:c r="K19" s="32" t="str">
        <x:v>Do not stack with another major operating tax by default; assess jobs, incidence and regional tax overlap.</x:v>
      </x:c>
      <x:c r="L19" s="32" t="str">
        <x:v>F03</x:v>
      </x:c>
    </x:row>
    <x:row r="20" ht="68" customHeight="1">
      <x:c r="A20" s="2"/>
      <x:c r="B20" s="2"/>
      <x:c r="C20" s="32" t="n">
        <x:v>15</x:v>
      </x:c>
      <x:c r="D20" s="32" t="str">
        <x:v>Prepared-food and nonalcoholic beverage tax</x:v>
      </x:c>
      <x:c r="E20" s="32" t="str">
        <x:v>Diversified recurring support or capital debt service</x:v>
      </x:c>
      <x:c r="F20" s="32" t="str">
        <x:v>Historical 5% concept &gt;$90M; illustration 1% on $1B taxable sales = $10M gross</x:v>
      </x:c>
      <x:c r="G20" s="32" t="str">
        <x:v>New tax, collection system and legal review</x:v>
      </x:c>
      <x:c r="H20" s="32" t="str">
        <x:v>Low–medium</x:v>
      </x:c>
      <x:c r="I20" s="32" t="str">
        <x:v>Consumption tax burdens modest incomes and restaurants; visitor contribution possible</x:v>
      </x:c>
      <x:c r="J20" s="32" t="str">
        <x:v>18–36 months</x:v>
      </x:c>
      <x:c r="K20" s="32" t="str">
        <x:v>Retain as alternative after district/income/fee analysis; do not scale 2019-era bases to 2026 unchanged.</x:v>
      </x:c>
      <x:c r="L20" s="32" t="str">
        <x:v>F03; F27</x:v>
      </x:c>
    </x:row>
    <x:row r="21" ht="68" customHeight="1">
      <x:c r="A21" s="2"/>
      <x:c r="B21" s="2"/>
      <x:c r="C21" s="32" t="n">
        <x:v>16</x:v>
      </x:c>
      <x:c r="D21" s="32" t="str">
        <x:v>TIF / urban renewal and local improvements</x:v>
      </x:c>
      <x:c r="E21" s="32" t="str">
        <x:v>Area-specific eligible capital</x:v>
      </x:c>
      <x:c r="F21" s="32" t="str">
        <x:v>Project and district plan dependent; no citywide yield</x:v>
      </x:c>
      <x:c r="G21" s="32" t="str">
        <x:v>Restricted geography, plans, benefit and tax rules</x:v>
      </x:c>
      <x:c r="H21" s="32" t="str">
        <x:v>Medium for authorized project</x:v>
      </x:c>
      <x:c r="I21" s="32" t="str">
        <x:v>Can improve underserved areas; diverts growth in other tax revenues</x:v>
      </x:c>
      <x:c r="J21" s="32" t="str">
        <x:v>12–36 months</x:v>
      </x:c>
      <x:c r="K21" s="32" t="str">
        <x:v>Use for eligible park/access components; verify availability and net citywide fiscal effect.</x:v>
      </x:c>
      <x:c r="L21" s="32" t="str">
        <x:v>F03</x:v>
      </x:c>
    </x:row>
    <x:row r="22" ht="68" customHeight="1">
      <x:c r="A22" s="2"/>
      <x:c r="B22" s="2"/>
      <x:c r="C22" s="32" t="n">
        <x:v>17</x:v>
      </x:c>
      <x:c r="D22" s="32" t="str">
        <x:v>Business/benefit improvement area charges</x:v>
      </x:c>
      <x:c r="E22" s="32" t="str">
        <x:v>Enhanced cleaning and activation in a defined area</x:v>
      </x:c>
      <x:c r="F22" s="32" t="str">
        <x:v>No reliable transferable yield; depends on assessed participants</x:v>
      </x:c>
      <x:c r="G22" s="32" t="str">
        <x:v>Formation, benefit and assessment requirements</x:v>
      </x:c>
      <x:c r="H22" s="32" t="str">
        <x:v>Medium</x:v>
      </x:c>
      <x:c r="I22" s="32" t="str">
        <x:v>Services follow willing property/business payers; cannot replace citywide equity floor</x:v>
      </x:c>
      <x:c r="J22" s="32" t="str">
        <x:v>12–36 months</x:v>
      </x:c>
      <x:c r="K22" s="32" t="str">
        <x:v>Consider supplemental downtown/visitor-area service agreements with explicit baseline.</x:v>
      </x:c>
      <x:c r="L22" s="32" t="str">
        <x:v>F03</x:v>
      </x:c>
    </x:row>
    <x:row r="23" ht="68" customHeight="1">
      <x:c r="A23" s="2"/>
      <x:c r="B23" s="2"/>
      <x:c r="C23" s="32" t="n">
        <x:v>18</x:v>
      </x:c>
      <x:c r="D23" s="32" t="str">
        <x:v>Leases, easements and non-park-use compensation</x:v>
      </x:c>
      <x:c r="E23" s="32" t="str">
        <x:v>Specific retained property rights; mitigation</x:v>
      </x:c>
      <x:c r="F23" s="32" t="str">
        <x:v>Contract-specific; May2026 notes warn prior permit spikes were exceptional</x:v>
      </x:c>
      <x:c r="G23" s="32" t="str">
        <x:v>Contract, title and park-protection constraints</x:v>
      </x:c>
      <x:c r="H23" s="32" t="str">
        <x:v>Medium for leases; low for one-time compensation</x:v>
      </x:c>
      <x:c r="I23" s="32" t="str">
        <x:v>Preserve public access and evaluate opportunity cost</x:v>
      </x:c>
      <x:c r="J23" s="32" t="str">
        <x:v>6–24 months</x:v>
      </x:c>
      <x:c r="K23" s="32" t="str">
        <x:v>Value rights and retained liabilities separately; do not annualize one-time payments.</x:v>
      </x:c>
      <x:c r="L23" s="32" t="str">
        <x:v>F22; F03</x:v>
      </x:c>
    </x:row>
    <x:row r="24" ht="68" customHeight="1">
      <x:c r="A24" s="2"/>
      <x:c r="B24" s="2"/>
      <x:c r="C24" s="32" t="n">
        <x:v>19</x:v>
      </x:c>
      <x:c r="D24" s="32" t="str">
        <x:v>Sponsorship, naming and advertising</x:v>
      </x:c>
      <x:c r="E24" s="32" t="str">
        <x:v>Programs and discrete amenities</x:v>
      </x:c>
      <x:c r="F24" s="32" t="str">
        <x:v>Contracted cash less servicing/maintenance; no measured incremental total</x:v>
      </x:c>
      <x:c r="G24" s="32" t="str">
        <x:v>Time-limited contracts and City policy</x:v>
      </x:c>
      <x:c r="H24" s="32" t="str">
        <x:v>Low–medium</x:v>
      </x:c>
      <x:c r="I24" s="32" t="str">
        <x:v>Public-space commercialization and donor allocation need limits</x:v>
      </x:c>
      <x:c r="J24" s="32" t="str">
        <x:v>6–24 months</x:v>
      </x:c>
      <x:c r="K24" s="32" t="str">
        <x:v>Set public-interest standards and transparent net values; do not count in-kind valuation as payroll cash.</x:v>
      </x:c>
      <x:c r="L24" s="32" t="str">
        <x:v>F03</x:v>
      </x:c>
    </x:row>
    <x:row r="25" ht="68" customHeight="1">
      <x:c r="A25" s="2"/>
      <x:c r="B25" s="2"/>
      <x:c r="C25" s="32" t="n">
        <x:v>20</x:v>
      </x:c>
      <x:c r="D25" s="32" t="str">
        <x:v>New Markets Tax Credits / targeted incentives</x:v>
      </x:c>
      <x:c r="E25" s="32" t="str">
        <x:v>Eligible community facility project financing</x:v>
      </x:c>
      <x:c r="F25" s="32" t="str">
        <x:v>Net subsidy after financing/legal fees; deal-specific, not 39% free construction money</x:v>
      </x:c>
      <x:c r="G25" s="32" t="str">
        <x:v>Competitive allocation via intermediaries; eligibility and compliance</x:v>
      </x:c>
      <x:c r="H25" s="32" t="str">
        <x:v>Low before closing</x:v>
      </x:c>
      <x:c r="I25" s="32" t="str">
        <x:v>Can support eligible low-income areas; transaction burden high</x:v>
      </x:c>
      <x:c r="J25" s="32" t="str">
        <x:v>18–36 months</x:v>
      </x:c>
      <x:c r="K25" s="32" t="str">
        <x:v>Screen only sufficiently large eligible projects; obtain specialist feasibility before including proceeds.</x:v>
      </x:c>
      <x:c r="L25" s="32" t="str">
        <x:v>F41; F03</x:v>
      </x:c>
    </x:row>
    <x:row r="26" ht="68" customHeight="1">
      <x:c r="A26" s="2"/>
      <x:c r="B26" s="2"/>
      <x:c r="C26" s="32" t="n">
        <x:v>21</x:v>
      </x:c>
      <x:c r="D26" s="32" t="str">
        <x:v>Transient lodging tax / tourism agreements</x:v>
      </x:c>
      <x:c r="E26" s="32" t="str">
        <x:v>Visitor-facing eligible improvements</x:v>
      </x:c>
      <x:c r="F26" s="32" t="str">
        <x:v>Historical 1-point increase up to $7M gross; current base unverified</x:v>
      </x:c>
      <x:c r="G26" s="32" t="str">
        <x:v>Generally at least 70% of new/increased net tax to statutory tourism uses</x:v>
      </x:c>
      <x:c r="H26" s="32" t="str">
        <x:v>Low–medium</x:v>
      </x:c>
      <x:c r="I26" s="32" t="str">
        <x:v>Visitor contribution but hotel demand and statutory limits</x:v>
      </x:c>
      <x:c r="J26" s="32" t="str">
        <x:v>18–36 months</x:v>
      </x:c>
      <x:c r="K26" s="32" t="str">
        <x:v>Test eligible facilities; a park being popular with visitors does not alone qualify it.</x:v>
      </x:c>
      <x:c r="L26" s="32" t="str">
        <x:v>F17; F03</x:v>
      </x:c>
    </x:row>
    <x:row r="27" ht="68" customHeight="1">
      <x:c r="A27" s="2"/>
      <x:c r="B27" s="2"/>
      <x:c r="C27" s="32" t="n">
        <x:v>22</x:v>
      </x:c>
      <x:c r="D27" s="32" t="str">
        <x:v>County or regional district/shared service system</x:v>
      </x:c>
      <x:c r="E27" s="32" t="str">
        <x:v>Services with real cross-border benefits</x:v>
      </x:c>
      <x:c r="F27" s="32" t="str">
        <x:v>No modeled Portland net share; boundaries and service transfer matter</x:v>
      </x:c>
      <x:c r="G27" s="32" t="str">
        <x:v>ORS451 / regional governance and voters; complex agreements</x:v>
      </x:c>
      <x:c r="H27" s="32" t="str">
        <x:v>High continuity if adopted</x:v>
      </x:c>
      <x:c r="I27" s="32" t="str">
        <x:v>Spreads regional benefit costs; outside voters may resist City subsidy</x:v>
      </x:c>
      <x:c r="J27" s="32" t="str">
        <x:v>3–6 years, planning assumption</x:v>
      </x:c>
      <x:c r="K27" s="32" t="str">
        <x:v>Compare only if regional partners see a shared service case; not a quick budget patch.</x:v>
      </x:c>
      <x:c r="L27" s="32" t="str">
        <x:v>F11; F28; F37</x:v>
      </x:c>
    </x:row>
    <x:row r="28" ht="68" customHeight="1">
      <x:c r="A28" s="2"/>
      <x:c r="B28" s="2"/>
      <x:c r="C28" s="32" t="n">
        <x:v>23</x:v>
      </x:c>
      <x:c r="D28" s="32" t="str">
        <x:v>Capital local-option levy</x:v>
      </x:c>
      <x:c r="E28" s="32" t="str">
        <x:v>Pay-as-you-go eligible capital</x:v>
      </x:c>
      <x:c r="F28" s="32" t="str">
        <x:v>Rate × tax base less compression; separate election rules beyond five years</x:v>
      </x:c>
      <x:c r="G28" s="32" t="str">
        <x:v>Up to 10 years or useful life, if qualifying capital</x:v>
      </x:c>
      <x:c r="H28" s="32" t="str">
        <x:v>Medium</x:v>
      </x:c>
      <x:c r="I28" s="32" t="str">
        <x:v>Property-tax burden and compression; avoids bond interest</x:v>
      </x:c>
      <x:c r="J28" s="32" t="str">
        <x:v>18–36 months</x:v>
      </x:c>
      <x:c r="K28" s="32" t="str">
        <x:v>Compare with GO bond when tax capacity and delivery schedule favor cash funding.</x:v>
      </x:c>
      <x:c r="L28" s="32" t="str">
        <x:v>F10; F23</x:v>
      </x:c>
    </x:row>
    <x:row r="29" ht="68" customHeight="1">
      <x:c r="A29" s="2"/>
      <x:c r="B29" s="2"/>
      <x:c r="C29" s="32" t="n">
        <x:v>24</x:v>
      </x:c>
      <x:c r="D29" s="32" t="str">
        <x:v>Amusement/admissions tax</x:v>
      </x:c>
      <x:c r="E29" s="32" t="str">
        <x:v>Narrow recurring supplement</x:v>
      </x:c>
      <x:c r="F29" s="32" t="str">
        <x:v>Historical 9% concept ~$46M using Chicago scaling; weak Portland base evidence</x:v>
      </x:c>
      <x:c r="G29" s="32" t="str">
        <x:v>New tax, legal and administrative design</x:v>
      </x:c>
      <x:c r="H29" s="32" t="str">
        <x:v>Low–medium</x:v>
      </x:c>
      <x:c r="I29" s="32" t="str">
        <x:v>Can tax cultural access and affect attendance/venues</x:v>
      </x:c>
      <x:c r="J29" s="32" t="str">
        <x:v>18–36 months</x:v>
      </x:c>
      <x:c r="K29" s="32" t="str">
        <x:v>Do not budget historical estimate; inventory taxable sales and exemptions first.</x:v>
      </x:c>
      <x:c r="L29" s="32" t="str">
        <x:v>F03</x:v>
      </x:c>
    </x:row>
    <x:row r="30" ht="68" customHeight="1">
      <x:c r="A30" s="2"/>
      <x:c r="B30" s="2"/>
      <x:c r="C30" s="32" t="n">
        <x:v>25</x:v>
      </x:c>
      <x:c r="D30" s="32" t="str">
        <x:v>Cellphone tax</x:v>
      </x:c>
      <x:c r="E30" s="32" t="str">
        <x:v>Narrow recurring supplement</x:v>
      </x:c>
      <x:c r="F30" s="32" t="str">
        <x:v>Historical 5% concept up to $7M; no current validated base</x:v>
      </x:c>
      <x:c r="G30" s="32" t="str">
        <x:v>New tax; telecom/preemption review</x:v>
      </x:c>
      <x:c r="H30" s="32" t="str">
        <x:v>Medium but declining base risk</x:v>
      </x:c>
      <x:c r="I30" s="32" t="str">
        <x:v>Regressive essential-service burden and pass-through</x:v>
      </x:c>
      <x:c r="J30" s="32" t="str">
        <x:v>18–36 months</x:v>
      </x:c>
      <x:c r="K30" s="32" t="str">
        <x:v>Low priority given limited yield and household burden.</x:v>
      </x:c>
      <x:c r="L30" s="32" t="str">
        <x:v>F03</x:v>
      </x:c>
    </x:row>
    <x:row r="31" ht="68" customHeight="1">
      <x:c r="A31" s="2"/>
      <x:c r="B31" s="2"/>
      <x:c r="C31" s="32" t="n">
        <x:v>26</x:v>
      </x:c>
      <x:c r="D31" s="32" t="str">
        <x:v>Cannabis allocation or revenue-sharing change</x:v>
      </x:c>
      <x:c r="E31" s="32" t="str">
        <x:v>Small supplemental support</x:v>
      </x:c>
      <x:c r="F31" s="32" t="str">
        <x:v>Incremental revenue unknown; state law limits local retail rate to 3%</x:v>
      </x:c>
      <x:c r="G31" s="32" t="str">
        <x:v>Existing local-tax commitments and state limits</x:v>
      </x:c>
      <x:c r="H31" s="32" t="str">
        <x:v>Low–medium</x:v>
      </x:c>
      <x:c r="I31" s="32" t="str">
        <x:v>Does not align stable service needs to a stable broad base</x:v>
      </x:c>
      <x:c r="J31" s="32" t="str">
        <x:v>12–36 months</x:v>
      </x:c>
      <x:c r="K31" s="32" t="str">
        <x:v>Review uncommitted allocation only; do not assume an extra parks tax above statutory cap.</x:v>
      </x:c>
      <x:c r="L31" s="32" t="str">
        <x:v>F40</x:v>
      </x:c>
    </x:row>
    <x:row r="32" ht="68" customHeight="1">
      <x:c r="A32" s="2"/>
      <x:c r="B32" s="2"/>
      <x:c r="C32" s="32" t="n">
        <x:v>27</x:v>
      </x:c>
      <x:c r="D32" s="32" t="str">
        <x:v>Capital-gains tax</x:v>
      </x:c>
      <x:c r="E32" s="32" t="str">
        <x:v>Volatile receipts best reserved for one-time uses</x:v>
      </x:c>
      <x:c r="F32" s="32" t="str">
        <x:v>Historical 1% estimate $12–15M; current behavior/base unknown</x:v>
      </x:c>
      <x:c r="G32" s="32" t="str">
        <x:v>New tax; administration, incidence and legality review</x:v>
      </x:c>
      <x:c r="H32" s="32" t="str">
        <x:v>Low</x:v>
      </x:c>
      <x:c r="I32" s="32" t="str">
        <x:v>Progressive incidence possible; highly cyclical realizations</x:v>
      </x:c>
      <x:c r="J32" s="32" t="str">
        <x:v>18–36 months</x:v>
      </x:c>
      <x:c r="K32" s="32" t="str">
        <x:v>Avoid staffing commitments dependent on annual realization peaks.</x:v>
      </x:c>
      <x:c r="L32" s="32" t="str">
        <x:v>F03</x:v>
      </x:c>
    </x:row>
    <x:row r="33" ht="68" customHeight="1">
      <x:c r="A33" s="2"/>
      <x:c r="B33" s="2"/>
      <x:c r="C33" s="32" t="n">
        <x:v>28</x:v>
      </x:c>
      <x:c r="D33" s="32" t="str">
        <x:v>Sweetened-beverage tax</x:v>
      </x:c>
      <x:c r="E33" s="32" t="str">
        <x:v>Health-related supplement</x:v>
      </x:c>
      <x:c r="F33" s="32" t="str">
        <x:v>Historical table ~$19M but rate unit printed ambiguously; no usable forecast</x:v>
      </x:c>
      <x:c r="G33" s="32" t="str">
        <x:v>New tax and collection design</x:v>
      </x:c>
      <x:c r="H33" s="32" t="str">
        <x:v>Low–medium</x:v>
      </x:c>
      <x:c r="I33" s="32" t="str">
        <x:v>Regressive payments; health objectives may intentionally shrink base</x:v>
      </x:c>
      <x:c r="J33" s="32" t="str">
        <x:v>18–36 months</x:v>
      </x:c>
      <x:c r="K33" s="32" t="str">
        <x:v>Resolve rate/unit and current taxable volume before any estimate.</x:v>
      </x:c>
      <x:c r="L33" s="32" t="str">
        <x:v>F03</x:v>
      </x:c>
    </x:row>
    <x:row r="34" ht="68" customHeight="1">
      <x:c r="A34" s="2"/>
      <x:c r="B34" s="2"/>
      <x:c r="C34" s="32" t="n">
        <x:v>29</x:v>
      </x:c>
      <x:c r="D34" s="32" t="str">
        <x:v>Business, franchise or other broad City tax allocation</x:v>
      </x:c>
      <x:c r="E34" s="32" t="str">
        <x:v>General service support</x:v>
      </x:c>
      <x:c r="F34" s="32" t="str">
        <x:v>No validated uncommitted yield; reallocations have competing-service costs</x:v>
      </x:c>
      <x:c r="G34" s="32" t="str">
        <x:v>Tax-specific City/state authority and contracts</x:v>
      </x:c>
      <x:c r="H34" s="32" t="str">
        <x:v>Varies</x:v>
      </x:c>
      <x:c r="I34" s="32" t="str">
        <x:v>Business incidence and household pass-through differ</x:v>
      </x:c>
      <x:c r="J34" s="32" t="str">
        <x:v>18–36 months</x:v>
      </x:c>
      <x:c r="K34" s="32" t="str">
        <x:v>Coordinate Citywide; earmarking existing money is not new revenue.</x:v>
      </x:c>
      <x:c r="L34" s="32" t="str">
        <x:v>F43; F21</x:v>
      </x:c>
    </x:row>
    <x:row r="35" ht="68" customHeight="1">
      <x:c r="A35" s="2"/>
      <x:c r="B35" s="2"/>
      <x:c r="C35" s="32" t="n">
        <x:v>30</x:v>
      </x:c>
      <x:c r="D35" s="32" t="str">
        <x:v>Endowments and planned gifts</x:v>
      </x:c>
      <x:c r="E35" s="32" t="str">
        <x:v>Specific facility lifecycle or access support</x:v>
      </x:c>
      <x:c r="F35" s="32" t="str">
        <x:v>At illustrative 4% payout, $1M/year requires $25M invested; $55M requires $1.375B</x:v>
      </x:c>
      <x:c r="G35" s="32" t="str">
        <x:v>Gift restrictions, investment/spending policy</x:v>
      </x:c>
      <x:c r="H35" s="32" t="str">
        <x:v>Medium after funded</x:v>
      </x:c>
      <x:c r="I35" s="32" t="str">
        <x:v>Large donor dependence; preserve purchasing power and equitable allocation</x:v>
      </x:c>
      <x:c r="J35" s="32" t="str">
        <x:v>Multi-year</x:v>
      </x:c>
      <x:c r="K35" s="32" t="str">
        <x:v>Seek maintenance endowment with major gifts; not credible primary near-term system solution.</x:v>
      </x:c>
      <x:c r="L35" s="32" t="str">
        <x:v>F22</x:v>
      </x:c>
    </x:row>
    <x:row r="36" ht="68" customHeight="1">
      <x:c r="A36" s="2"/>
      <x:c r="B36" s="2"/>
      <x:c r="C36" s="32" t="n">
        <x:v>31</x:v>
      </x:c>
      <x:c r="D36" s="32" t="str">
        <x:v>Asset disposition / development rights</x:v>
      </x:c>
      <x:c r="E36" s="32" t="str">
        <x:v>Exceptional one-time proceeds and avoided liability</x:v>
      </x:c>
      <x:c r="F36" s="32" t="str">
        <x:v>Net proceeds unknown; title/grant restrictions and lost service must be valued</x:v>
      </x:c>
      <x:c r="G36" s="32" t="str">
        <x:v>Property-specific authority, covenants, public process</x:v>
      </x:c>
      <x:c r="H36" s="32" t="str">
        <x:v>None as recurring funding</x:v>
      </x:c>
      <x:c r="I36" s="32" t="str">
        <x:v>Risk of permanent loss of public benefit</x:v>
      </x:c>
      <x:c r="J36" s="32" t="str">
        <x:v>Case-specific</x:v>
      </x:c>
      <x:c r="K36" s="32" t="str">
        <x:v>Use only service-led asset-transition review; never sell productive assets to plug recurring deficits.</x:v>
      </x:c>
      <x:c r="L36" s="32" t="str">
        <x:v>F45</x:v>
      </x:c>
    </x:row>
    <x:row r="37" ht="68" customHeight="1">
      <x:c r="A37" s="2"/>
      <x:c r="B37" s="2"/>
      <x:c r="C37" s="32" t="n">
        <x:v>32</x:v>
      </x:c>
      <x:c r="D37" s="32" t="str">
        <x:v>Revenue bonds, loans, leases or public-private finance</x:v>
      </x:c>
      <x:c r="E37" s="32" t="str">
        <x:v>Financing a proven repayment stream</x:v>
      </x:c>
      <x:c r="F37" s="32" t="str">
        <x:v>Borrowing proceeds less costs, repaid from pledged net revenue</x:v>
      </x:c>
      <x:c r="G37" s="32" t="str">
        <x:v>Debt capacity, covenants and legal authority</x:v>
      </x:c>
      <x:c r="H37" s="32" t="str">
        <x:v>Depends on repayment source</x:v>
      </x:c>
      <x:c r="I37" s="32" t="str">
        <x:v>Can commit future budgets and control; finance cost matters</x:v>
      </x:c>
      <x:c r="J37" s="32" t="str">
        <x:v>12–36 months</x:v>
      </x:c>
      <x:c r="K37" s="32" t="str">
        <x:v>Financing is not revenue; compare whole-life public delivery costs and retained risks.</x:v>
      </x:c>
      <x:c r="L37" s="32" t="str">
        <x:v>F07; F21</x:v>
      </x:c>
    </x:row>
    <x:row r="38" ht="68" customHeight="1">
      <x:c r="A38" s="2"/>
      <x:c r="B38" s="2"/>
      <x:c r="C38" s="32" t="n">
        <x:v>33</x:v>
      </x:c>
      <x:c r="D38" s="32" t="str">
        <x:v>Energy/water performance contracts and rebates</x:v>
      </x:c>
      <x:c r="E38" s="32" t="str">
        <x:v>Verified utility savings and eligible retrofit capital</x:v>
      </x:c>
      <x:c r="F38" s="32" t="str">
        <x:v>Net savings after debt, maintenance and measurement; no blanket estimate</x:v>
      </x:c>
      <x:c r="G38" s="32" t="str">
        <x:v>Project-specific procurement and utility eligibility</x:v>
      </x:c>
      <x:c r="H38" s="32" t="str">
        <x:v>Medium if verified</x:v>
      </x:c>
      <x:c r="I38" s="32" t="str">
        <x:v>Can improve comfort and reduce costs without raising user charges</x:v>
      </x:c>
      <x:c r="J38" s="32" t="str">
        <x:v>6–36 months</x:v>
      </x:c>
      <x:c r="K38" s="32" t="str">
        <x:v>Baseline consumption, verify savings and prevent counting same savings twice.</x:v>
      </x:c>
      <x:c r="L38" s="32" t="str">
        <x:v>F18; F47</x:v>
      </x:c>
    </x:row>
    <x:row r="39" ht="68" customHeight="1">
      <x:c r="A39" s="2"/>
      <x:c r="B39" s="2"/>
      <x:c r="C39" s="32" t="n">
        <x:v>34</x:v>
      </x:c>
      <x:c r="D39" s="32" t="str">
        <x:v>Volunteer and partner-provided service</x:v>
      </x:c>
      <x:c r="E39" s="32" t="str">
        <x:v>Supplemental stewardship and programming</x:v>
      </x:c>
      <x:c r="F39" s="32" t="str">
        <x:v>Valued contribution is not spendable City revenue; cash savings require counterfactual</x:v>
      </x:c>
      <x:c r="G39" s="32" t="str">
        <x:v>Agreements, safety, labor and supervision obligations</x:v>
      </x:c>
      <x:c r="H39" s="32" t="str">
        <x:v>Low–medium</x:v>
      </x:c>
      <x:c r="I39" s="32" t="str">
        <x:v>Local capacity varies; support groups in underserved areas</x:v>
      </x:c>
      <x:c r="J39" s="32" t="str">
        <x:v>0–24 months</x:v>
      </x:c>
      <x:c r="K39" s="32" t="str">
        <x:v>Document service quality and incremental City support; keep retained maintenance explicit.</x:v>
      </x:c>
      <x:c r="L39" s="32" t="str">
        <x:v>F02; F45</x:v>
      </x:c>
    </x:row>
    <x:row r="40" ht="68" customHeight="1">
      <x:c r="A40" s="2"/>
      <x:c r="B40" s="2"/>
      <x:c r="C40" s="32" t="n">
        <x:v>35</x:v>
      </x:c>
      <x:c r="D40" s="32" t="str">
        <x:v>Carbon/ecosystem credits and mitigation markets</x:v>
      </x:c>
      <x:c r="E40" s="32" t="str">
        <x:v>Potentially eligible ecological projects</x:v>
      </x:c>
      <x:c r="F40" s="32" t="str">
        <x:v>No validated revenue; additionality/permanence/ownership unresolved</x:v>
      </x:c>
      <x:c r="G40" s="32" t="str">
        <x:v>Certification, legal and buyer rules</x:v>
      </x:c>
      <x:c r="H40" s="32" t="str">
        <x:v>Low</x:v>
      </x:c>
      <x:c r="I40" s="32" t="str">
        <x:v>Ecological integrity before visitor or cash maximization</x:v>
      </x:c>
      <x:c r="J40" s="32" t="str">
        <x:v>Exploratory</x:v>
      </x:c>
      <x:c r="K40" s="32" t="str">
        <x:v>Treat as research, not recurring baseline; distinguish regulated mitigation from voluntary credits.</x:v>
      </x:c>
      <x:c r="L40" s="32" t="str">
        <x:v>F47</x:v>
      </x:c>
    </x:row>
    <x:row r="41" ht="68" customHeight="1">
      <x:c r="A41" s="2"/>
      <x:c r="B41" s="2"/>
      <x:c r="C41" s="32" t="n">
        <x:v>36</x:v>
      </x:c>
      <x:c r="D41" s="32" t="str">
        <x:v>Motor-fuel/road-user revenues</x:v>
      </x:c>
      <x:c r="E41" s="32" t="str">
        <x:v>Eligible transportation connections to parks</x:v>
      </x:c>
      <x:c r="F41" s="32" t="str">
        <x:v>Not unrestricted Parks funding</x:v>
      </x:c>
      <x:c r="G41" s="32" t="str">
        <x:v>Oregon constitutional highway-use restrictions</x:v>
      </x:c>
      <x:c r="H41" s="32" t="str">
        <x:v>Not applicable to general parks operations</x:v>
      </x:c>
      <x:c r="I41" s="32" t="str">
        <x:v>Can improve access through transportation partners</x:v>
      </x:c>
      <x:c r="J41" s="32" t="str">
        <x:v>Project-specific</x:v>
      </x:c>
      <x:c r="K41" s="32" t="str">
        <x:v>Fund eligible streets/crossings via responsible agency; do not redirect to ordinary park maintenance.</x:v>
      </x:c>
      <x:c r="L41" s="32" t="str">
        <x:v>F09</x:v>
      </x:c>
    </x:row>
    <x:row r="42" ht="68" customHeight="1">
      <x:c r="A42" s="2"/>
      <x:c r="B42" s="2"/>
      <x:c r="C42" s="32" t="n">
        <x:v>37</x:v>
      </x:c>
      <x:c r="D42" s="32" t="str">
        <x:v>Real-estate transfer tax</x:v>
      </x:c>
      <x:c r="E42" s="32" t="str">
        <x:v>Unavailable new local source under current framework</x:v>
      </x:c>
      <x:c r="F42" s="32" t="str">
        <x:v>No revenue assumed</x:v>
      </x:c>
      <x:c r="G42" s="32" t="str">
        <x:v>ORS306.815 preemption; state constitutional constraints</x:v>
      </x:c>
      <x:c r="H42" s="32" t="str">
        <x:v>Unavailable</x:v>
      </x:c>
      <x:c r="I42" s="32" t="str">
        <x:v>Would require a separate statewide legal/policy change</x:v>
      </x:c>
      <x:c r="J42" s="32" t="str">
        <x:v>Not near-term</x:v>
      </x:c>
      <x:c r="K42" s="32" t="str">
        <x:v>Exclude from implementable package; do not present as City-authorized option.</x:v>
      </x:c>
      <x:c r="L42" s="32" t="str">
        <x:v>F39; F09</x:v>
      </x:c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10" hidden="0" customWidth="1"/>
    <x:col min="4" max="4" width="50" hidden="0" customWidth="1"/>
    <x:col min="5" max="5" width="75" hidden="0" customWidth="1"/>
    <x:col min="6" max="6" width="55" hidden="0" customWidth="1"/>
    <x:col min="7" max="7" width="29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</x:row>
    <x:row r="2" ht="23" customHeight="1">
      <x:c r="A2" s="2"/>
      <x:c r="B2" s="2"/>
      <x:c r="C2" s="3" t="str">
        <x:v>Sources</x:v>
      </x:c>
      <x:c r="D2" s="2"/>
      <x:c r="E2" s="2"/>
      <x:c r="F2" s="2"/>
      <x:c r="G2" s="2"/>
    </x:row>
    <x:row r="3" ht="23" customHeight="1">
      <x:c r="A3" s="2"/>
      <x:c r="B3" s="2"/>
      <x:c r="C3" s="4"/>
      <x:c r="D3" s="4"/>
      <x:c r="E3" s="4"/>
      <x:c r="F3" s="4"/>
      <x:c r="G3" s="4"/>
      <x:c r="H3" s="5"/>
      <x:c r="I3" s="5"/>
      <x:c r="J3" s="5"/>
      <x:c r="K3" s="5"/>
      <x:c r="L3" s="5"/>
    </x:row>
    <x:row r="4" ht="23" customHeight="1">
      <x:c r="A4" s="2"/>
      <x:c r="B4" s="2"/>
      <x:c r="C4" s="2"/>
      <x:c r="D4" s="2"/>
      <x:c r="E4" s="2"/>
      <x:c r="F4" s="2"/>
      <x:c r="G4" s="2"/>
    </x:row>
    <x:row r="5" ht="32" customHeight="1">
      <x:c r="A5" s="2"/>
      <x:c r="B5" s="2"/>
      <x:c r="C5" s="9" t="str">
        <x:v>ID</x:v>
      </x:c>
      <x:c r="D5" s="9" t="str">
        <x:v>Source</x:v>
      </x:c>
      <x:c r="E5" s="9" t="str">
        <x:v>URL</x:v>
      </x:c>
      <x:c r="F5" s="9" t="str">
        <x:v>Locator</x:v>
      </x:c>
      <x:c r="G5" s="9" t="str">
        <x:v>Archive status</x:v>
      </x:c>
    </x:row>
    <x:row r="6" ht="56" customHeight="1">
      <x:c r="A6" s="2"/>
      <x:c r="B6" s="2"/>
      <x:c r="C6" s="32" t="str">
        <x:v>F01</x:v>
      </x:c>
      <x:c r="D6" s="32" t="str">
        <x:v>PP&amp;R Sustainable Future</x:v>
      </x:c>
      <x:c r="E6" s="32" t="str">
        <x:v>https://www.portland.gov/parks/sustainable-future</x:v>
      </x:c>
      <x:c r="F6" s="32" t="str">
        <x:v>2026 and ongoing; August 2026 backlog; district legislative history</x:v>
      </x:c>
      <x:c r="G6" s="32" t="str">
        <x:v>saved</x:v>
      </x:c>
    </x:row>
    <x:row r="7" ht="56" customHeight="1">
      <x:c r="A7" s="2"/>
      <x:c r="B7" s="2"/>
      <x:c r="C7" s="32" t="str">
        <x:v>F02</x:v>
      </x:c>
      <x:c r="D7" s="32" t="str">
        <x:v>Council resolution 37710</x:v>
      </x:c>
      <x:c r="E7" s="32" t="str">
        <x:v>https://www.portland.gov/council/documents/resolution/adopted/37710</x:v>
      </x:c>
      <x:c r="F7" s="32" t="str">
        <x:v>Adopted July 2025; financial impacts and mandates</x:v>
      </x:c>
      <x:c r="G7" s="32" t="str">
        <x:v>saved</x:v>
      </x:c>
    </x:row>
    <x:row r="8" ht="56" customHeight="1">
      <x:c r="A8" s="2"/>
      <x:c r="B8" s="2"/>
      <x:c r="C8" s="32" t="str">
        <x:v>F03</x:v>
      </x:c>
      <x:c r="D8" s="32" t="str">
        <x:v>May 2024 Parks Board funding options</x:v>
      </x:c>
      <x:c r="E8" s="32" t="str">
        <x:v>https://www.portland.gov/parks/documents/ppr-board-may-2024-meeting-materials/download</x:v>
      </x:c>
      <x:c r="F8" s="32" t="str">
        <x:v>Historical funding alternatives, assumptions and comparisons</x:v>
      </x:c>
      <x:c r="G8" s="32" t="str">
        <x:v>saved</x:v>
      </x:c>
    </x:row>
    <x:row r="9" ht="56" customHeight="1">
      <x:c r="A9" s="2"/>
      <x:c r="B9" s="2"/>
      <x:c r="C9" s="32" t="str">
        <x:v>F04</x:v>
      </x:c>
      <x:c r="D9" s="32" t="str">
        <x:v>May 2026 Parks Board minutes</x:v>
      </x:c>
      <x:c r="E9" s="32" t="str">
        <x:v>https://www.portland.gov/parks/documents/parks-board-meeting-minutes-may-2026/download</x:v>
      </x:c>
      <x:c r="F9" s="32" t="str">
        <x:v>Board presentation and 3 scenarios</x:v>
      </x:c>
      <x:c r="G9" s="32" t="str">
        <x:v>saved</x:v>
      </x:c>
    </x:row>
    <x:row r="10" ht="56" customHeight="1">
      <x:c r="A10" s="2"/>
      <x:c r="B10" s="2"/>
      <x:c r="C10" s="32" t="str">
        <x:v>F05</x:v>
      </x:c>
      <x:c r="D10" s="32" t="str">
        <x:v>June 2026 Parks Board minutes</x:v>
      </x:c>
      <x:c r="E10" s="32" t="str">
        <x:v>https://www.portland.gov/parks/documents/parks-board-meeting-minutes-june-2026/download</x:v>
      </x:c>
      <x:c r="F10" s="32" t="str">
        <x:v>Budget assumptions and service reductions</x:v>
      </x:c>
      <x:c r="G10" s="32" t="str">
        <x:v>saved</x:v>
      </x:c>
    </x:row>
    <x:row r="11" ht="56" customHeight="1">
      <x:c r="A11" s="2"/>
      <x:c r="B11" s="2"/>
      <x:c r="C11" s="32" t="str">
        <x:v>F06</x:v>
      </x:c>
      <x:c r="D11" s="32" t="str">
        <x:v>FY2026-27 adopted budget Volume 2</x:v>
      </x:c>
      <x:c r="E11" s="32" t="str">
        <x:v>https://www.portland.gov/budget/2026-2027-budget/documents/fy-26-27-adopted-budget-book-volume-2/download</x:v>
      </x:c>
      <x:c r="F11" s="32" t="str">
        <x:v>PP&amp;R financial summary and fund details</x:v>
      </x:c>
      <x:c r="G11" s="32" t="str">
        <x:v>saved</x:v>
      </x:c>
    </x:row>
    <x:row r="12" ht="56" customHeight="1">
      <x:c r="A12" s="2"/>
      <x:c r="B12" s="2"/>
      <x:c r="C12" s="32" t="str">
        <x:v>F07</x:v>
      </x:c>
      <x:c r="D12" s="32" t="str">
        <x:v>Oregon park and recreation district statutes</x:v>
      </x:c>
      <x:c r="E12" s="32" t="str">
        <x:v>https://www.oregonlegislature.gov/bills_laws/ors/ors266.html</x:v>
      </x:c>
      <x:c r="F12" s="32" t="str">
        <x:v>ORS266 formation; board; powers; taxation</x:v>
      </x:c>
      <x:c r="G12" s="32" t="str">
        <x:v>saved</x:v>
      </x:c>
    </x:row>
    <x:row r="13" ht="56" customHeight="1">
      <x:c r="A13" s="2"/>
      <x:c r="B13" s="2"/>
      <x:c r="C13" s="32" t="str">
        <x:v>F08</x:v>
      </x:c>
      <x:c r="D13" s="32" t="str">
        <x:v>Oregon special district formation statutes</x:v>
      </x:c>
      <x:c r="E13" s="32" t="str">
        <x:v>https://www.oregonlegislature.gov/bills_laws/ors/ors198.html</x:v>
      </x:c>
      <x:c r="F13" s="32" t="str">
        <x:v>Formation, economic feasibility, permanent rate election, city consent</x:v>
      </x:c>
      <x:c r="G13" s="32" t="str">
        <x:v>saved</x:v>
      </x:c>
    </x:row>
    <x:row r="14" ht="56" customHeight="1">
      <x:c r="A14" s="2"/>
      <x:c r="B14" s="2"/>
      <x:c r="C14" s="32" t="str">
        <x:v>F09</x:v>
      </x:c>
      <x:c r="D14" s="32" t="str">
        <x:v>Oregon Constitution Article XI</x:v>
      </x:c>
      <x:c r="E14" s="32" t="str">
        <x:v>https://www.oregonlegislature.gov/bills_laws/Pages/OrConst.aspx</x:v>
      </x:c>
      <x:c r="F14" s="32" t="str">
        <x:v>Sections11 and11b property tax limits</x:v>
      </x:c>
      <x:c r="G14" s="32" t="str">
        <x:v>saved</x:v>
      </x:c>
    </x:row>
    <x:row r="15" ht="56" customHeight="1">
      <x:c r="A15" s="2"/>
      <x:c r="B15" s="2"/>
      <x:c r="C15" s="32" t="str">
        <x:v>F10</x:v>
      </x:c>
      <x:c r="D15" s="32" t="str">
        <x:v>Oregon tax levying statutes</x:v>
      </x:c>
      <x:c r="E15" s="32" t="str">
        <x:v>https://www.oregonlegislature.gov/bills_laws/ors/ors280.html</x:v>
      </x:c>
      <x:c r="F15" s="32" t="str">
        <x:v>Local option operating and capital duration</x:v>
      </x:c>
      <x:c r="G15" s="32" t="str">
        <x:v>saved</x:v>
      </x:c>
    </x:row>
    <x:row r="16" ht="56" customHeight="1">
      <x:c r="A16" s="2"/>
      <x:c r="B16" s="2"/>
      <x:c r="C16" s="32" t="str">
        <x:v>F11</x:v>
      </x:c>
      <x:c r="D16" s="32" t="str">
        <x:v>Oregon county service district statutes</x:v>
      </x:c>
      <x:c r="E16" s="32" t="str">
        <x:v>https://www.oregonlegislature.gov/bills_laws/ors/ors451.html</x:v>
      </x:c>
      <x:c r="F16" s="32" t="str">
        <x:v>Parks authority and county governance</x:v>
      </x:c>
      <x:c r="G16" s="32" t="str">
        <x:v>saved</x:v>
      </x:c>
    </x:row>
    <x:row r="17" ht="56" customHeight="1">
      <x:c r="A17" s="2"/>
      <x:c r="B17" s="2"/>
      <x:c r="C17" s="32" t="str">
        <x:v>F12</x:v>
      </x:c>
      <x:c r="D17" s="32" t="str">
        <x:v>PP&amp;R fiscal management audit</x:v>
      </x:c>
      <x:c r="E17" s="32" t="str">
        <x:v>https://www.portland.gov/auditor/audit-services/news/2025/10/15/parks-fiscal-management-systemwide-goals-and-sustainability</x:v>
      </x:c>
      <x:c r="F17" s="32" t="str">
        <x:v>October2025 findings and management responses</x:v>
      </x:c>
      <x:c r="G17" s="32" t="str">
        <x:v>saved</x:v>
      </x:c>
    </x:row>
    <x:row r="18" ht="56" customHeight="1">
      <x:c r="A18" s="2"/>
      <x:c r="B18" s="2"/>
      <x:c r="C18" s="32" t="str">
        <x:v>F13</x:v>
      </x:c>
      <x:c r="D18" s="32" t="str">
        <x:v>PP&amp;R SDC explanation</x:v>
      </x:c>
      <x:c r="E18" s="32" t="str">
        <x:v>https://www.portland.gov/parks/parks-system-development-charges-sdc</x:v>
      </x:c>
      <x:c r="F18" s="32" t="str">
        <x:v>Eligible capacity improvements and projects</x:v>
      </x:c>
      <x:c r="G18" s="32" t="str">
        <x:v>saved</x:v>
      </x:c>
    </x:row>
    <x:row r="19" ht="56" customHeight="1">
      <x:c r="A19" s="2"/>
      <x:c r="B19" s="2"/>
      <x:c r="C19" s="32" t="str">
        <x:v>F14</x:v>
      </x:c>
      <x:c r="D19" s="32" t="str">
        <x:v>Oregon SDC statutes</x:v>
      </x:c>
      <x:c r="E19" s="32" t="str">
        <x:v>https://www.oregonlegislature.gov/bills_laws/ors/ors223.html</x:v>
      </x:c>
      <x:c r="F19" s="32" t="str">
        <x:v>223.297-314, eligiblecapitalmaintenanceexclusion</x:v>
      </x:c>
      <x:c r="G19" s="32" t="str">
        <x:v>saved</x:v>
      </x:c>
    </x:row>
    <x:row r="20" ht="56" customHeight="1">
      <x:c r="A20" s="2"/>
      <x:c r="B20" s="2"/>
      <x:c r="C20" s="32" t="str">
        <x:v>F15</x:v>
      </x:c>
      <x:c r="D20" s="32" t="str">
        <x:v>Current Parks Levy</x:v>
      </x:c>
      <x:c r="E20" s="32" t="str">
        <x:v>https://www.portland.gov/parks/parks-levy</x:v>
      </x:c>
      <x:c r="F20" s="32" t="str">
        <x:v>FY26-27 through30-31 rate split</x:v>
      </x:c>
      <x:c r="G20" s="32" t="str">
        <x:v>saved</x:v>
      </x:c>
    </x:row>
    <x:row r="21" ht="56" customHeight="1">
      <x:c r="A21" s="2"/>
      <x:c r="B21" s="2"/>
      <x:c r="C21" s="32" t="str">
        <x:v>F16</x:v>
      </x:c>
      <x:c r="D21" s="32" t="str">
        <x:v>2019 PSU NERC funding study landing page</x:v>
      </x:c>
      <x:c r="E21" s="32" t="str">
        <x:v>https://pdxscholar.library.pdx.edu/nerc_pub/47/</x:v>
      </x:c>
      <x:c r="F21" s="32" t="str">
        <x:v>Taxlot simulation, alternatives and publication</x:v>
      </x:c>
      <x:c r="G21" s="32" t="str">
        <x:v>saved</x:v>
      </x:c>
    </x:row>
    <x:row r="22" ht="56" customHeight="1">
      <x:c r="A22" s="2"/>
      <x:c r="B22" s="2"/>
      <x:c r="C22" s="32" t="str">
        <x:v>F17</x:v>
      </x:c>
      <x:c r="D22" s="32" t="str">
        <x:v>Oregon transient lodging tax statutes</x:v>
      </x:c>
      <x:c r="E22" s="32" t="str">
        <x:v>https://www.oregonlegislature.gov/bills_laws/ors/ors320.html</x:v>
      </x:c>
      <x:c r="F22" s="32" t="str">
        <x:v>320.350 localtaxrestrictions</x:v>
      </x:c>
      <x:c r="G22" s="32" t="str">
        <x:v>saved</x:v>
      </x:c>
    </x:row>
    <x:row r="23" ht="56" customHeight="1">
      <x:c r="A23" s="2"/>
      <x:c r="B23" s="2"/>
      <x:c r="C23" s="32" t="str">
        <x:v>F18</x:v>
      </x:c>
      <x:c r="D23" s="32" t="str">
        <x:v>PCEF code</x:v>
      </x:c>
      <x:c r="E23" s="32" t="str">
        <x:v>https://www.portland.gov/code/7/07</x:v>
      </x:c>
      <x:c r="F23" s="32" t="str">
        <x:v>Allowedclimateexpenditures</x:v>
      </x:c>
      <x:c r="G23" s="32" t="str">
        <x:v>saved</x:v>
      </x:c>
    </x:row>
    <x:row r="24" ht="56" customHeight="1">
      <x:c r="A24" s="2"/>
      <x:c r="B24" s="2"/>
      <x:c r="C24" s="32" t="str">
        <x:v>F19</x:v>
      </x:c>
      <x:c r="D24" s="32" t="str">
        <x:v>July 2026 supplemental budget</x:v>
      </x:c>
      <x:c r="E24" s="32" t="str">
        <x:v>https://www.portland.gov/council/documents/ordinance/passed/192207</x:v>
      </x:c>
      <x:c r="F24" s="32" t="str">
        <x:v>Lateradoptedchanges</x:v>
      </x:c>
      <x:c r="G24" s="32" t="str">
        <x:v>saved</x:v>
      </x:c>
    </x:row>
    <x:row r="25" ht="56" customHeight="1">
      <x:c r="A25" s="2"/>
      <x:c r="B25" s="2"/>
      <x:c r="C25" s="32" t="str">
        <x:v>F20</x:v>
      </x:c>
      <x:c r="D25" s="32" t="str">
        <x:v>2019 Sustainable Future work session</x:v>
      </x:c>
      <x:c r="E25" s="32" t="str">
        <x:v>https://www.portland.gov/parks/documents/sustainable-future-council-work-session/download</x:v>
      </x:c>
      <x:c r="F25" s="32" t="str">
        <x:v>Earlierfundinganalysis</x:v>
      </x:c>
      <x:c r="G25" s="32" t="str">
        <x:v>saved</x:v>
      </x:c>
    </x:row>
    <x:row r="26" ht="56" customHeight="1">
      <x:c r="A26" s="2"/>
      <x:c r="B26" s="2"/>
      <x:c r="C26" s="32" t="str">
        <x:v>F21</x:v>
      </x:c>
      <x:c r="D26" s="32" t="str">
        <x:v>City Financial Planning policy FIN-2.03</x:v>
      </x:c>
      <x:c r="E26" s="32" t="str">
        <x:v>https://www.portland.gov/policies/finance/comprehensive-financial-management-policies/fin-203-financial-planning</x:v>
      </x:c>
      <x:c r="F26" s="32" t="str">
        <x:v>Asset management and excess beginning balance</x:v>
      </x:c>
      <x:c r="G26" s="32" t="str">
        <x:v>saved</x:v>
      </x:c>
    </x:row>
    <x:row r="27" ht="56" customHeight="1">
      <x:c r="A27" s="2"/>
      <x:c r="B27" s="2"/>
      <x:c r="C27" s="32" t="str">
        <x:v>F22</x:v>
      </x:c>
      <x:c r="D27" s="32" t="str">
        <x:v>Parks Levy Oversight Committee May 4 2026 notes</x:v>
      </x:c>
      <x:c r="E27" s="32" t="str">
        <x:v>https://www.portland.gov/parks/documents/parks-levy-oversight-committee-meeting-notes-may-4-2026/download</x:v>
      </x:c>
      <x:c r="F27" s="32" t="str">
        <x:v>PDF pp2–5: Staff budget assumptions and public discussion</x:v>
      </x:c>
      <x:c r="G27" s="32" t="str">
        <x:v>saved</x:v>
      </x:c>
    </x:row>
    <x:row r="28" ht="56" customHeight="1">
      <x:c r="A28" s="2"/>
      <x:c r="B28" s="2"/>
      <x:c r="C28" s="32" t="str">
        <x:v>F23</x:v>
      </x:c>
      <x:c r="D28" s="32" t="str">
        <x:v>Oregon property tax statistics 2025–26</x:v>
      </x:c>
      <x:c r="E28" s="32" t="str">
        <x:v>https://www.oregon.gov/dor/programs/gov-research/Documents/FY%202025-26%20Oregon%20Property%20Tax%20Statistics%20Report-UA.pdf</x:v>
      </x:c>
      <x:c r="F28" s="32" t="str">
        <x:v>Property tax limitations and compression definitions; not current valuation forecast</x:v>
      </x:c>
      <x:c r="G28" s="32" t="str">
        <x:v>saved</x:v>
      </x:c>
    </x:row>
    <x:row r="29" ht="56" customHeight="1">
      <x:c r="A29" s="2"/>
      <x:c r="B29" s="2"/>
      <x:c r="C29" s="32" t="str">
        <x:v>F24</x:v>
      </x:c>
      <x:c r="D29" s="32" t="str">
        <x:v>THPRD adopted budget resolution FY2025–26</x:v>
      </x:c>
      <x:c r="E29" s="32" t="str">
        <x:v>https://teamregistration.thprd.org/pdfs2/document5906.pdf</x:v>
      </x:c>
      <x:c r="F29" s="32" t="str">
        <x:v>Resolution 2025-06: permanent tax, local option levy, debt</x:v>
      </x:c>
      <x:c r="G29" s="32" t="str">
        <x:v>redirected-unrelated-page</x:v>
      </x:c>
    </x:row>
    <x:row r="30" ht="56" customHeight="1">
      <x:c r="A30" s="2"/>
      <x:c r="B30" s="2"/>
      <x:c r="C30" s="32" t="str">
        <x:v>F25</x:v>
      </x:c>
      <x:c r="D30" s="32" t="str">
        <x:v>Seattle Park District overview</x:v>
      </x:c>
      <x:c r="E30" s="32" t="str">
        <x:v>https://www.seattle.gov/seattle-park-district/about</x:v>
      </x:c>
      <x:c r="F30" s="32" t="str">
        <x:v>Governance and interlocal agreement</x:v>
      </x:c>
      <x:c r="G30" s="32" t="str">
        <x:v>saved</x:v>
      </x:c>
    </x:row>
    <x:row r="31" ht="56" customHeight="1">
      <x:c r="A31" s="2"/>
      <x:c r="B31" s="2"/>
      <x:c r="C31" s="32" t="str">
        <x:v>F26</x:v>
      </x:c>
      <x:c r="D31" s="32" t="str">
        <x:v>Medford park utility fee</x:v>
      </x:c>
      <x:c r="E31" s="32" t="str">
        <x:v>https://www.medfordoregon.gov/Government/Departments/Parks-Recreation-and-Facilities/Park-Utility-SDC-Charges</x:v>
      </x:c>
      <x:c r="F31" s="32" t="str">
        <x:v>Park utility fee history; peer example, not Portland authority</x:v>
      </x:c>
      <x:c r="G31" s="32" t="str">
        <x:v>saved</x:v>
      </x:c>
    </x:row>
    <x:row r="32" ht="56" customHeight="1">
      <x:c r="A32" s="2"/>
      <x:c r="B32" s="2"/>
      <x:c r="C32" s="32" t="str">
        <x:v>F27</x:v>
      </x:c>
      <x:c r="D32" s="32" t="str">
        <x:v>Ashland food and beverage tax</x:v>
      </x:c>
      <x:c r="E32" s="32" t="str">
        <x:v>https://ashlandoregon.gov/YourTaxesAtWork</x:v>
      </x:c>
      <x:c r="F32" s="32" t="str">
        <x:v>Tax rate, collection allowance, earmarks, sunset</x:v>
      </x:c>
      <x:c r="G32" s="32" t="str">
        <x:v>web-text-saved-original-unavailable</x:v>
      </x:c>
    </x:row>
    <x:row r="33" ht="56" customHeight="1">
      <x:c r="A33" s="2"/>
      <x:c r="B33" s="2"/>
      <x:c r="C33" s="32" t="str">
        <x:v>F28</x:v>
      </x:c>
      <x:c r="D33" s="32" t="str">
        <x:v>Metro 2019 parks and nature bond</x:v>
      </x:c>
      <x:c r="E33" s="32" t="str">
        <x:v>https://www.oregonmetro.gov/what-metro-does/parks-and-nature-investments/parks-and-nature-bond</x:v>
      </x:c>
      <x:c r="F33" s="32" t="str">
        <x:v>Local share, capital grants; distinguish Metro operating levy</x:v>
      </x:c>
      <x:c r="G33" s="32" t="str">
        <x:v>saved</x:v>
      </x:c>
    </x:row>
    <x:row r="34" ht="56" customHeight="1">
      <x:c r="A34" s="2"/>
      <x:c r="B34" s="2"/>
      <x:c r="C34" s="32" t="str">
        <x:v>F29</x:v>
      </x:c>
      <x:c r="D34" s="32" t="str">
        <x:v>Portland Metro bond local share</x:v>
      </x:c>
      <x:c r="E34" s="32" t="str">
        <x:v>https://www.portland.gov/parks/local-share</x:v>
      </x:c>
      <x:c r="F34" s="32" t="str">
        <x:v>Existing allocation and projects; not new uncommitted revenue</x:v>
      </x:c>
      <x:c r="G34" s="32" t="str">
        <x:v>saved</x:v>
      </x:c>
    </x:row>
    <x:row r="35" ht="56" customHeight="1">
      <x:c r="A35" s="2"/>
      <x:c r="B35" s="2"/>
      <x:c r="C35" s="32" t="str">
        <x:v>F30</x:v>
      </x:c>
      <x:c r="D35" s="32" t="str">
        <x:v>OPRD Local Government Grant manual 2026</x:v>
      </x:c>
      <x:c r="E35" s="32" t="str">
        <x:v>https://www.oregon.gov/oprd/GRA/Documents/LGGP_Manual_2026.pdf</x:v>
      </x:c>
      <x:c r="F35" s="32" t="str">
        <x:v>Eligible capital work, match, ineligible expenses</x:v>
      </x:c>
      <x:c r="G35" s="32" t="str">
        <x:v>saved</x:v>
      </x:c>
    </x:row>
    <x:row r="36" ht="56" customHeight="1">
      <x:c r="A36" s="2"/>
      <x:c r="B36" s="2"/>
      <x:c r="C36" s="32" t="str">
        <x:v>F31</x:v>
      </x:c>
      <x:c r="D36" s="32" t="str">
        <x:v>PSU NERC alternative funding report 2019</x:v>
      </x:c>
      <x:c r="E36" s="32" t="str">
        <x:v>https://pdxscholar.library.pdx.edu/cgi/viewcontent.cgi?article=1047&amp;context=nerc_pub</x:v>
      </x:c>
      <x:c r="F36" s="32" t="str">
        <x:v>Historical tax base models, incidence and restrictions</x:v>
      </x:c>
      <x:c r="G36" s="32" t="str">
        <x:v>download-failed</x:v>
      </x:c>
    </x:row>
    <x:row r="37" ht="56" customHeight="1">
      <x:c r="A37" s="2"/>
      <x:c r="B37" s="2"/>
      <x:c r="C37" s="32" t="str">
        <x:v>F32</x:v>
      </x:c>
      <x:c r="D37" s="32" t="str">
        <x:v>Parks capital maintenance presentation January2025</x:v>
      </x:c>
      <x:c r="E37" s="32" t="str">
        <x:v>https://www.portland.gov/parks/documents/capital-maintenance-january-2025/download</x:v>
      </x:c>
      <x:c r="F37" s="32" t="str">
        <x:v>Capital funding and asset management</x:v>
      </x:c>
      <x:c r="G37" s="32" t="str">
        <x:v>saved</x:v>
      </x:c>
    </x:row>
    <x:row r="38" ht="56" customHeight="1">
      <x:c r="A38" s="2"/>
      <x:c r="B38" s="2"/>
      <x:c r="C38" s="32" t="str">
        <x:v>F33</x:v>
      </x:c>
      <x:c r="D38" s="32" t="str">
        <x:v>Parks levy funding January2025</x:v>
      </x:c>
      <x:c r="E38" s="32" t="str">
        <x:v>https://www.portland.gov/parks/documents/parks-levy-funding-january-2025/download</x:v>
      </x:c>
      <x:c r="F38" s="32" t="str">
        <x:v>Operations and financial forecasts</x:v>
      </x:c>
      <x:c r="G38" s="32" t="str">
        <x:v>saved</x:v>
      </x:c>
    </x:row>
    <x:row r="39" ht="56" customHeight="1">
      <x:c r="A39" s="2"/>
      <x:c r="B39" s="2"/>
      <x:c r="C39" s="32" t="str">
        <x:v>F34</x:v>
      </x:c>
      <x:c r="D39" s="32" t="str">
        <x:v>Parks levy survey April2025</x:v>
      </x:c>
      <x:c r="E39" s="32" t="str">
        <x:v>https://www.portland.gov/parks/documents/levy-survey-analysis-april-2025/download</x:v>
      </x:c>
      <x:c r="F39" s="32" t="str">
        <x:v>Dated voter attitudes, not 2026 forecast</x:v>
      </x:c>
      <x:c r="G39" s="32" t="str">
        <x:v>saved</x:v>
      </x:c>
    </x:row>
    <x:row r="40" ht="56" customHeight="1">
      <x:c r="A40" s="2"/>
      <x:c r="B40" s="2"/>
      <x:c r="C40" s="32" t="str">
        <x:v>F35</x:v>
      </x:c>
      <x:c r="D40" s="32" t="str">
        <x:v>Parks bond and levy survey December2023</x:v>
      </x:c>
      <x:c r="E40" s="32" t="str">
        <x:v>https://www.portland.gov/parks/documents/bond-and-levy-feasibility-survey-december-2023/download</x:v>
      </x:c>
      <x:c r="F40" s="32" t="str">
        <x:v>Dated bond attitudes</x:v>
      </x:c>
      <x:c r="G40" s="32" t="str">
        <x:v>saved</x:v>
      </x:c>
    </x:row>
    <x:row r="41" ht="56" customHeight="1">
      <x:c r="A41" s="2"/>
      <x:c r="B41" s="2"/>
      <x:c r="C41" s="32" t="str">
        <x:v>F36</x:v>
      </x:c>
      <x:c r="D41" s="32" t="str">
        <x:v>Portland parks funding sources FAQ</x:v>
      </x:c>
      <x:c r="E41" s="32" t="str">
        <x:v>https://www.portland.gov/parks/funding-sources-faq</x:v>
      </x:c>
      <x:c r="F41" s="32" t="str">
        <x:v>Restricted capital and operations context</x:v>
      </x:c>
      <x:c r="G41" s="32" t="str">
        <x:v>saved</x:v>
      </x:c>
    </x:row>
    <x:row r="42" ht="56" customHeight="1">
      <x:c r="A42" s="2"/>
      <x:c r="B42" s="2"/>
      <x:c r="C42" s="32" t="str">
        <x:v>F37</x:v>
      </x:c>
      <x:c r="D42" s="32" t="str">
        <x:v>Oregon intergovernmental cooperation law</x:v>
      </x:c>
      <x:c r="E42" s="32" t="str">
        <x:v>https://www.oregonlegislature.gov/bills_laws/ors/ors190.html</x:v>
      </x:c>
      <x:c r="F42" s="32" t="str">
        <x:v>Intergovernmental agreements; legal design to confirm</x:v>
      </x:c>
      <x:c r="G42" s="32" t="str">
        <x:v>saved</x:v>
      </x:c>
    </x:row>
    <x:row r="43" ht="56" customHeight="1">
      <x:c r="A43" s="2"/>
      <x:c r="B43" s="2"/>
      <x:c r="C43" s="32" t="str">
        <x:v>F38</x:v>
      </x:c>
      <x:c r="D43" s="32" t="str">
        <x:v>Oregon taxing authority and property tax law</x:v>
      </x:c>
      <x:c r="E43" s="32" t="str">
        <x:v>https://www.oregonlegislature.gov/bills_laws/ors/ors310.html</x:v>
      </x:c>
      <x:c r="F43" s="32" t="str">
        <x:v>Permanent rates, local options, compression</x:v>
      </x:c>
      <x:c r="G43" s="32" t="str">
        <x:v>saved</x:v>
      </x:c>
    </x:row>
    <x:row r="44" ht="56" customHeight="1">
      <x:c r="A44" s="2"/>
      <x:c r="B44" s="2"/>
      <x:c r="C44" s="32" t="str">
        <x:v>F39</x:v>
      </x:c>
      <x:c r="D44" s="32" t="str">
        <x:v>Oregon real property transfer tax preemption</x:v>
      </x:c>
      <x:c r="E44" s="32" t="str">
        <x:v>https://www.oregonlegislature.gov/bills_laws/ors/ors306.html</x:v>
      </x:c>
      <x:c r="F44" s="32" t="str">
        <x:v>306.815</x:v>
      </x:c>
      <x:c r="G44" s="32" t="str">
        <x:v>saved</x:v>
      </x:c>
    </x:row>
    <x:row r="45" ht="56" customHeight="1">
      <x:c r="A45" s="2"/>
      <x:c r="B45" s="2"/>
      <x:c r="C45" s="32" t="str">
        <x:v>F40</x:v>
      </x:c>
      <x:c r="D45" s="32" t="str">
        <x:v>Oregon marijuana tax local authority</x:v>
      </x:c>
      <x:c r="E45" s="32" t="str">
        <x:v>https://www.oregonlegislature.gov/bills_laws/ors/ors475c.html</x:v>
      </x:c>
      <x:c r="F45" s="32" t="str">
        <x:v>Local retail marijuana tax authority and limit</x:v>
      </x:c>
      <x:c r="G45" s="32" t="str">
        <x:v>saved</x:v>
      </x:c>
    </x:row>
    <x:row r="46" ht="56" customHeight="1">
      <x:c r="A46" s="2"/>
      <x:c r="B46" s="2"/>
      <x:c r="C46" s="32" t="str">
        <x:v>F41</x:v>
      </x:c>
      <x:c r="D46" s="32" t="str">
        <x:v>New Markets Tax Credit program</x:v>
      </x:c>
      <x:c r="E46" s="32" t="str">
        <x:v>https://www.cdfifund.gov/programs-training/programs/new-markets-tax-credit</x:v>
      </x:c>
      <x:c r="F46" s="32" t="str">
        <x:v>Project financing, not unrestricted recurring revenue</x:v>
      </x:c>
      <x:c r="G46" s="32" t="str">
        <x:v>saved</x:v>
      </x:c>
    </x:row>
    <x:row r="47" ht="56" customHeight="1">
      <x:c r="A47" s="2"/>
      <x:c r="B47" s="2"/>
      <x:c r="C47" s="32" t="str">
        <x:v>F42</x:v>
      </x:c>
      <x:c r="D47" s="32" t="str">
        <x:v>Land and Water Conservation Fund state assistance</x:v>
      </x:c>
      <x:c r="E47" s="32" t="str">
        <x:v>https://www.nps.gov/subjects/lwcf/stateside.htm</x:v>
      </x:c>
      <x:c r="F47" s="32" t="str">
        <x:v>Capital eligibility and lasting recreation obligations</x:v>
      </x:c>
      <x:c r="G47" s="32" t="str">
        <x:v>saved</x:v>
      </x:c>
    </x:row>
    <x:row r="48" ht="56" customHeight="1">
      <x:c r="A48" s="2"/>
      <x:c r="B48" s="2"/>
      <x:c r="C48" s="32" t="str">
        <x:v>F43</x:v>
      </x:c>
      <x:c r="D48" s="32" t="str">
        <x:v>Portland Revenue Division tax programs</x:v>
      </x:c>
      <x:c r="E48" s="32" t="str">
        <x:v>https://www.portland.gov/revenue</x:v>
      </x:c>
      <x:c r="F48" s="32" t="str">
        <x:v>Existing tax administration; no inference of authority for a new tax</x:v>
      </x:c>
      <x:c r="G48" s="32" t="str">
        <x:v>saved</x:v>
      </x:c>
    </x:row>
    <x:row r="49" ht="56" customHeight="1">
      <x:c r="A49" s="2"/>
      <x:c r="B49" s="2"/>
      <x:c r="C49" s="32" t="str">
        <x:v>F44</x:v>
      </x:c>
      <x:c r="D49" s="32" t="str">
        <x:v>Oregon property tax research catalog</x:v>
      </x:c>
      <x:c r="E49" s="32" t="str">
        <x:v>https://www.oregon.gov/dor/gov-research/Pages/property_tax_statistics.aspx</x:v>
      </x:c>
      <x:c r="F49" s="32" t="str">
        <x:v>Available annual reports</x:v>
      </x:c>
      <x:c r="G49" s="32" t="str">
        <x:v>saved</x:v>
      </x:c>
    </x:row>
    <x:row r="50" ht="56" customHeight="1">
      <x:c r="A50" s="2"/>
      <x:c r="B50" s="2"/>
      <x:c r="C50" s="32" t="str">
        <x:v>F45</x:v>
      </x:c>
      <x:c r="D50" s="32" t="str">
        <x:v>May12 2026 public Board meeting supplied caption transcript</x:v>
      </x:c>
      <x:c r="E50" s="32" t="str">
        <x:v>https://parks.portlandciviclab.org/sources/parks-board/2026-05-12-transcript.txt</x:v>
      </x:c>
      <x:c r="F50" s="32" t="str">
        <x:v>M0110, M0123, M0130; captions supplied by user, not independently audio-verified; official minutes corroborate presentation</x:v>
      </x:c>
      <x:c r="G50" s="32" t="str">
        <x:v>saved-existing-public-copy</x:v>
      </x:c>
    </x:row>
    <x:row r="51" ht="56" customHeight="1">
      <x:c r="A51" s="2"/>
      <x:c r="B51" s="2"/>
      <x:c r="C51" s="32" t="str">
        <x:v>F46</x:v>
      </x:c>
      <x:c r="D51" s="32" t="str">
        <x:v>Temporary housing SDC exemption ordinance</x:v>
      </x:c>
      <x:c r="E51" s="32" t="str">
        <x:v>https://www.portland.gov/council/documents/ordinance/passed/192082</x:v>
      </x:c>
      <x:c r="F51" s="32" t="str">
        <x:v>Housing SDC exemption and term</x:v>
      </x:c>
      <x:c r="G51" s="32" t="str">
        <x:v>saved</x:v>
      </x:c>
    </x:row>
    <x:row r="52" ht="56" customHeight="1">
      <x:c r="A52" s="2"/>
      <x:c r="B52" s="2"/>
      <x:c r="C52" s="32" t="str">
        <x:v>F47</x:v>
      </x:c>
      <x:c r="D52" s="32" t="str">
        <x:v>PCEF Climate Investment Plan</x:v>
      </x:c>
      <x:c r="E52" s="32" t="str">
        <x:v>https://www.portland.gov/bps/cleanenergy/climate-investment-plan</x:v>
      </x:c>
      <x:c r="F52" s="32" t="str">
        <x:v>Restricted climate investment framework</x:v>
      </x:c>
      <x:c r="G52" s="32" t="str">
        <x:v>saved</x:v>
      </x:c>
    </x:row>
    <x:row r="53" ht="56" customHeight="1">
      <x:c r="A53" s="2"/>
      <x:c r="B53" s="2"/>
      <x:c r="C53" s="32" t="str">
        <x:v>F48</x:v>
      </x:c>
      <x:c r="D53" s="32" t="str">
        <x:v>THPRD Bond Task Force September2025 minutes</x:v>
      </x:c>
      <x:c r="E53" s="32" t="str">
        <x:v>https://www.tualatinhillsparks.org/DocumentCenter/View/1650/Bond-Task-Force-Meeting-1-Minutes-final-09-04-2025</x:v>
      </x:c>
      <x:c r="F53" s="32" t="str">
        <x:v>Operating levy and capital bond distinction</x:v>
      </x:c>
      <x:c r="G53" s="32" t="str">
        <x:v>saved</x:v>
      </x:c>
    </x:row>
    <x:row r="54" ht="56" customHeight="1">
      <x:c r="A54" s="2"/>
      <x:c r="B54" s="2"/>
      <x:c r="C54" s="32" t="str">
        <x:v>F49</x:v>
      </x:c>
      <x:c r="D54" s="32" t="str">
        <x:v>June2020 parks bond and levy polling</x:v>
      </x:c>
      <x:c r="E54" s="32" t="str">
        <x:v>https://www.portland.gov/parks/documents/bond-and-levy-survey-analysis-june-2020/download</x:v>
      </x:c>
      <x:c r="F54" s="32" t="str">
        <x:v>Historical sequencing evidence</x:v>
      </x:c>
      <x:c r="G54" s="32" t="str">
        <x:v>saved</x:v>
      </x:c>
    </x:row>
    <x:row r="55" ht="56" customHeight="1">
      <x:c r="A55" s="2"/>
      <x:c r="B55" s="2"/>
      <x:c r="C55" s="32" t="str">
        <x:v>F50</x:v>
      </x:c>
      <x:c r="D55" s="32" t="str">
        <x:v>August2024 vibrant communities survey</x:v>
      </x:c>
      <x:c r="E55" s="32" t="str">
        <x:v>https://www.portland.gov/parks/documents/portland-vibrant-community-survey-analysis-august-2024/download</x:v>
      </x:c>
      <x:c r="F55" s="32" t="str">
        <x:v>Historical funding preferences</x:v>
      </x:c>
      <x:c r="G55" s="32" t="str">
        <x:v>saved</x:v>
      </x:c>
    </x:row>
    <x:row r="56" ht="23" customHeight="1">
      <x:c r="A56" s="2"/>
      <x:c r="B56" s="2"/>
      <x:c r="C56" s="2"/>
      <x:c r="D56" s="2"/>
      <x:c r="E56" s="2"/>
      <x:c r="F56" s="2"/>
      <x:c r="G56" s="2"/>
    </x:row>
    <x:row r="57" ht="23" customHeight="1">
      <x:c r="A57" s="2"/>
      <x:c r="B57" s="2"/>
      <x:c r="C57" s="2"/>
      <x:c r="D57" s="2"/>
      <x:c r="E57" s="2"/>
      <x:c r="F57" s="2"/>
      <x:c r="G57" s="2"/>
    </x:row>
    <x:row r="58" ht="23" customHeight="1">
      <x:c r="A58" s="2"/>
      <x:c r="B58" s="2"/>
      <x:c r="C58" s="2"/>
      <x:c r="D58" s="2"/>
      <x:c r="E58" s="2"/>
      <x:c r="F58" s="2"/>
      <x:c r="G58" s="2"/>
    </x:row>
    <x:row r="59" ht="23" customHeight="1">
      <x:c r="A59" s="2"/>
      <x:c r="B59" s="2"/>
      <x:c r="C59" s="2"/>
      <x:c r="D59" s="2"/>
      <x:c r="E59" s="2"/>
      <x:c r="F59" s="2"/>
      <x:c r="G59" s="2"/>
    </x:row>
    <x:row r="60" ht="23" customHeight="1">
      <x:c r="A60" s="2"/>
      <x:c r="B60" s="2"/>
      <x:c r="C60" s="2"/>
      <x:c r="D60" s="2"/>
      <x:c r="E60" s="2"/>
      <x:c r="F60" s="2"/>
      <x:c r="G60" s="2"/>
    </x:row>
  </x:sheetData>
  <x:pageMargins left="0.7" right="0.7" top="0.75" bottom="0.75" header="0.3" footer="0.3"/>
</x:worksheet>
</file>